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Мудрякова\Desktop\На сайт\Водоснабжение\Тарифы\2025\"/>
    </mc:Choice>
  </mc:AlternateContent>
  <bookViews>
    <workbookView xWindow="-120" yWindow="-120" windowWidth="29040" windowHeight="1584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Предложение!$L$88</definedName>
    <definedName name="OFFER_METHOD">Предложение!$K$24:$K$86</definedName>
    <definedName name="OFFER_METHOD_FLAG">TEHSHEET!$L$6</definedName>
    <definedName name="OFFER_TARIFF_A_1">Предложение!$24:$26</definedName>
    <definedName name="OFFER_TARIFF_A_2">Предложение!$90:$92</definedName>
    <definedName name="OFFER_TARIFF_A_3">Предложение!$154:$156</definedName>
    <definedName name="OFFER_TARIFF_A_4">Предложение!$218:$220</definedName>
    <definedName name="OFFER_TARIFF_A_5">Предложение!$282:$284</definedName>
    <definedName name="OFFER_TARIFF_A_COLDVSNA_1">Предложение!$51:$53</definedName>
    <definedName name="OFFER_TARIFF_A_COLDVSNA_2">Предложение!$117:$119</definedName>
    <definedName name="OFFER_TARIFF_A_COLDVSNA_3">Предложение!$181:$183</definedName>
    <definedName name="OFFER_TARIFF_A_COLDVSNA_4">Предложение!$245:$247</definedName>
    <definedName name="OFFER_TARIFF_A_COLDVSNA_5">Предложение!$309:$311</definedName>
    <definedName name="OFFER_TARIFF_A_HOTVSNA_1">Предложение!$69:$71</definedName>
    <definedName name="OFFER_TARIFF_A_HOTVSNA_2">Предложение!$135:$137</definedName>
    <definedName name="OFFER_TARIFF_A_HOTVSNA_3">Предложение!$199:$201</definedName>
    <definedName name="OFFER_TARIFF_A_HOTVSNA_4">Предложение!$263:$265</definedName>
    <definedName name="OFFER_TARIFF_A_HOTVSNA_5">Предложение!$327:$329</definedName>
    <definedName name="OFFER_TARIFF_A_VOTV_1">Предложение!$78:$80</definedName>
    <definedName name="OFFER_TARIFF_A_VOTV_2">Предложение!$144:$146</definedName>
    <definedName name="OFFER_TARIFF_A_VOTV_3">Предложение!$208:$210</definedName>
    <definedName name="OFFER_TARIFF_A_VOTV_4">Предложение!$272:$274</definedName>
    <definedName name="OFFER_TARIFF_A_VOTV_5">Предложение!$336:$338</definedName>
    <definedName name="OFFER_TARIFF_B_1">Предложение!$27:$29</definedName>
    <definedName name="OFFER_TARIFF_B_2">Предложение!$93:$95</definedName>
    <definedName name="OFFER_TARIFF_B_3">Предложение!$157:$159</definedName>
    <definedName name="OFFER_TARIFF_B_4">Предложение!$221:$223</definedName>
    <definedName name="OFFER_TARIFF_B_5">Предложение!$285:$287</definedName>
    <definedName name="OFFER_TARIFF_B_COLDVSNA_1">Предложение!$54:$59</definedName>
    <definedName name="OFFER_TARIFF_B_COLDVSNA_2">Предложение!$120:$125</definedName>
    <definedName name="OFFER_TARIFF_B_COLDVSNA_3">Предложение!$184:$189</definedName>
    <definedName name="OFFER_TARIFF_B_COLDVSNA_4">Предложение!$248:$253</definedName>
    <definedName name="OFFER_TARIFF_B_COLDVSNA_5">Предложение!$312:$317</definedName>
    <definedName name="OFFER_TARIFF_B_HOTVSNA_1">Предложение!$72:$74</definedName>
    <definedName name="OFFER_TARIFF_B_HOTVSNA_2">Предложение!$138:$140</definedName>
    <definedName name="OFFER_TARIFF_B_HOTVSNA_3">Предложение!$202:$204</definedName>
    <definedName name="OFFER_TARIFF_B_HOTVSNA_4">Предложение!$266:$268</definedName>
    <definedName name="OFFER_TARIFF_B_HOTVSNA_5">Предложение!$330:$332</definedName>
    <definedName name="OFFER_TARIFF_B_VOTV_1">Предложение!$81:$83</definedName>
    <definedName name="OFFER_TARIFF_B_VOTV_2">Предложение!$147:$149</definedName>
    <definedName name="OFFER_TARIFF_B_VOTV_3">Предложение!$211:$213</definedName>
    <definedName name="OFFER_TARIFF_B_VOTV_4">Предложение!$275:$277</definedName>
    <definedName name="OFFER_TARIFF_B_VOTV_5">Предложение!$339:$341</definedName>
    <definedName name="OFFER_TARIFF_C_1">Предложение!$30:$32</definedName>
    <definedName name="OFFER_TARIFF_C_2">Предложение!$96:$98</definedName>
    <definedName name="OFFER_TARIFF_C_3">Предложение!$160:$162</definedName>
    <definedName name="OFFER_TARIFF_C_4">Предложение!$224:$226</definedName>
    <definedName name="OFFER_TARIFF_C_5">Предложение!$288:$290</definedName>
    <definedName name="OFFER_TARIFF_C_COLDVSNA_1">Предложение!$60:$62</definedName>
    <definedName name="OFFER_TARIFF_C_COLDVSNA_2">Предложение!$126:$128</definedName>
    <definedName name="OFFER_TARIFF_C_COLDVSNA_3">Предложение!$190:$192</definedName>
    <definedName name="OFFER_TARIFF_C_COLDVSNA_4">Предложение!$254:$256</definedName>
    <definedName name="OFFER_TARIFF_C_COLDVSNA_5">Предложение!$318:$320</definedName>
    <definedName name="OFFER_TARIFF_C_HOTVSNA_1">Предложение!$75:$77</definedName>
    <definedName name="OFFER_TARIFF_C_HOTVSNA_2">Предложение!$141:$143</definedName>
    <definedName name="OFFER_TARIFF_C_HOTVSNA_3">Предложение!$205:$207</definedName>
    <definedName name="OFFER_TARIFF_C_HOTVSNA_4">Предложение!$269:$271</definedName>
    <definedName name="OFFER_TARIFF_C_HOTVSNA_5">Предложение!$333:$335</definedName>
    <definedName name="OFFER_TARIFF_C_VOTV_1">Предложение!$84:$86</definedName>
    <definedName name="OFFER_TARIFF_C_VOTV_2">Предложение!$150:$152</definedName>
    <definedName name="OFFER_TARIFF_C_VOTV_3">Предложение!$214:$216</definedName>
    <definedName name="OFFER_TARIFF_C_VOTV_4">Предложение!$278:$280</definedName>
    <definedName name="OFFER_TARIFF_C_VOTV_5">Предложение!$342:$344</definedName>
    <definedName name="OFFER_TARIFF_D_1">Предложение!$33:$35</definedName>
    <definedName name="OFFER_TARIFF_D_2">Предложение!$99:$101</definedName>
    <definedName name="OFFER_TARIFF_D_3">Предложение!$163:$165</definedName>
    <definedName name="OFFER_TARIFF_D_4">Предложение!$227:$229</definedName>
    <definedName name="OFFER_TARIFF_D_5">Предложение!$291:$293</definedName>
    <definedName name="OFFER_TARIFF_D_COLDVSNA_1">Предложение!$63:$65</definedName>
    <definedName name="OFFER_TARIFF_D_COLDVSNA_2">Предложение!$129:$131</definedName>
    <definedName name="OFFER_TARIFF_D_COLDVSNA_3">Предложение!$193:$195</definedName>
    <definedName name="OFFER_TARIFF_D_COLDVSNA_4">Предложение!$257:$259</definedName>
    <definedName name="OFFER_TARIFF_D_COLDVSNA_5">Предложение!$321:$323</definedName>
    <definedName name="OFFER_TARIFF_E_COLDVSNA_1">Предложение!$66:$68</definedName>
    <definedName name="OFFER_TARIFF_E_COLDVSNA_2">Предложение!$132:$134</definedName>
    <definedName name="OFFER_TARIFF_E_COLDVSNA_3">Предложение!$196:$198</definedName>
    <definedName name="OFFER_TARIFF_E_COLDVSNA_4">Предложение!$260:$262</definedName>
    <definedName name="OFFER_TARIFF_E_COLDVSNA_5">Предложение!$324:$326</definedName>
    <definedName name="OFFER_TARIFF_E1_1">Предложение!$36:$38</definedName>
    <definedName name="OFFER_TARIFF_E1_2">Предложение!$102:$104</definedName>
    <definedName name="OFFER_TARIFF_E1_3">Предложение!$166:$168</definedName>
    <definedName name="OFFER_TARIFF_E1_4">Предложение!$230:$232</definedName>
    <definedName name="OFFER_TARIFF_E1_5">Предложение!$294:$296</definedName>
    <definedName name="OFFER_TARIFF_E2_1">Предложение!$39:$41</definedName>
    <definedName name="OFFER_TARIFF_E2_2">Предложение!$105:$107</definedName>
    <definedName name="OFFER_TARIFF_E2_3">Предложение!$169:$171</definedName>
    <definedName name="OFFER_TARIFF_E2_4">Предложение!$233:$235</definedName>
    <definedName name="OFFER_TARIFF_E2_5">Предложение!$297:$299</definedName>
    <definedName name="OFFER_TARIFF_F_1">Предложение!$42:$44</definedName>
    <definedName name="OFFER_TARIFF_F_2">Предложение!$108:$110</definedName>
    <definedName name="OFFER_TARIFF_F_3">Предложение!$172:$174</definedName>
    <definedName name="OFFER_TARIFF_F_4">Предложение!$236:$238</definedName>
    <definedName name="OFFER_TARIFF_F_5">Предложение!$300:$302</definedName>
    <definedName name="OFFER_TARIFF_G_1">Предложение!$45:$47</definedName>
    <definedName name="OFFER_TARIFF_G_2">Предложение!$111:$113</definedName>
    <definedName name="OFFER_TARIFF_G_3">Предложение!$175:$177</definedName>
    <definedName name="OFFER_TARIFF_G_4">Предложение!$239:$241</definedName>
    <definedName name="OFFER_TARIFF_G_5">Предложение!$303:$305</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Предложение!$G$119</definedName>
    <definedName name="pIns_PT_VTAR_A_COLDVSNA_OFFER_3">Предложение!$G$183</definedName>
    <definedName name="pIns_PT_VTAR_A_COLDVSNA_OFFER_4">Предложение!$G$247</definedName>
    <definedName name="pIns_PT_VTAR_A_COLDVSNA_OFFER_5">Предложение!$G$311</definedName>
    <definedName name="pIns_PT_VTAR_A_COLDVSNA_OFFER5">Предложение!$G$311</definedName>
    <definedName name="pIns_PT_VTAR_A_HOTVSNA">'ГВС. Т-гор.вода'!$T$54</definedName>
    <definedName name="pIns_PT_VTAR_A_HOTVSNA_OFFER_1">Предложение!$G$71</definedName>
    <definedName name="pIns_PT_VTAR_A_HOTVSNA_OFFER_2">Предложение!$G$137</definedName>
    <definedName name="pIns_PT_VTAR_A_HOTVSNA_OFFER_3">Предложение!$G$201</definedName>
    <definedName name="pIns_PT_VTAR_A_HOTVSNA_OFFER_4">Предложение!$G$265</definedName>
    <definedName name="pIns_PT_VTAR_A_HOTVSNA_OFFER_5">Предложение!$G$329</definedName>
    <definedName name="pIns_PT_VTAR_A_OFFER_1">Предложение!$G$26</definedName>
    <definedName name="pIns_PT_VTAR_A_OFFER_2">Предложение!$G$92</definedName>
    <definedName name="pIns_PT_VTAR_A_OFFER_3">Предложение!$G$156</definedName>
    <definedName name="pIns_PT_VTAR_A_OFFER_4">Предложение!$G$220</definedName>
    <definedName name="pIns_PT_VTAR_A_OFFER_5">Предложение!$G$284</definedName>
    <definedName name="pIns_PT_VTAR_A_VOTV">'ВО. Т-во'!$T$53</definedName>
    <definedName name="pIns_PT_VTAR_A_VOTV_OFFER_1">Предложение!$G$80</definedName>
    <definedName name="pIns_PT_VTAR_A_VOTV_OFFER_2">Предложение!$G$146</definedName>
    <definedName name="pIns_PT_VTAR_A_VOTV_OFFER_3">Предложение!$G$210</definedName>
    <definedName name="pIns_PT_VTAR_A_VOTV_OFFER_4">Предложение!$G$274</definedName>
    <definedName name="pIns_PT_VTAR_A_VOTV_OFFER_5">Предложение!$G$338</definedName>
    <definedName name="pIns_PT_VTAR_B">'ТС. Т-ТЭ | ТСО'!$T$57</definedName>
    <definedName name="pIns_PT_VTAR_B_COLDVSNA">'ХВС. Т-тех'!$T$53</definedName>
    <definedName name="pIns_PT_VTAR_B_COLDVSNA_OFFER_1">Предложение!$G$59</definedName>
    <definedName name="pIns_PT_VTAR_B_COLDVSNA_OFFER_2">Предложение!$G$125</definedName>
    <definedName name="pIns_PT_VTAR_B_COLDVSNA_OFFER_3">Предложение!$G$189</definedName>
    <definedName name="pIns_PT_VTAR_B_COLDVSNA_OFFER_4">Предложение!$G$253</definedName>
    <definedName name="pIns_PT_VTAR_B_COLDVSNA_OFFER_5">Предложение!$G$317</definedName>
    <definedName name="pIns_PT_VTAR_B_HOTVSNA">'ГВС. Т-транс'!$T$54</definedName>
    <definedName name="pIns_PT_VTAR_B_HOTVSNA_OFFER_1">Предложение!$G$74</definedName>
    <definedName name="pIns_PT_VTAR_B_HOTVSNA_OFFER_2">Предложение!$G$140</definedName>
    <definedName name="pIns_PT_VTAR_B_HOTVSNA_OFFER_3">Предложение!$G$204</definedName>
    <definedName name="pIns_PT_VTAR_B_HOTVSNA_OFFER_4">Предложение!$G$268</definedName>
    <definedName name="pIns_PT_VTAR_B_HOTVSNA_OFFER_5">Предложение!$G$332</definedName>
    <definedName name="pIns_PT_VTAR_B_OFFER_1">Предложение!$G$29</definedName>
    <definedName name="pIns_PT_VTAR_B_OFFER_2">Предложение!$G$95</definedName>
    <definedName name="pIns_PT_VTAR_B_OFFER_3">Предложение!$G$159</definedName>
    <definedName name="pIns_PT_VTAR_B_OFFER_4">Предложение!$G$223</definedName>
    <definedName name="pIns_PT_VTAR_B_OFFER_5">Предложение!$G$287</definedName>
    <definedName name="pIns_PT_VTAR_B_VOTV">'ВО. Т-транс'!$T$53</definedName>
    <definedName name="pIns_PT_VTAR_B_VOTV_OFFER_1">Предложение!$G$83</definedName>
    <definedName name="pIns_PT_VTAR_B_VOTV_OFFER_2">Предложение!$G$149</definedName>
    <definedName name="pIns_PT_VTAR_B_VOTV_OFFER_3">Предложение!$G$213</definedName>
    <definedName name="pIns_PT_VTAR_B_VOTV_OFFER_4">Предложение!$G$277</definedName>
    <definedName name="pIns_PT_VTAR_B_VOTV_OFFER_5">Предложение!$G$341</definedName>
    <definedName name="pIns_PT_VTAR_C">'ТС. Т-ТН'!$T$57</definedName>
    <definedName name="pIns_PT_VTAR_C_COLDVSNA">'ХВС. Т-транс'!$T$53</definedName>
    <definedName name="pIns_PT_VTAR_C_COLDVSNA_OFFER_1">Предложение!$G$62</definedName>
    <definedName name="pIns_PT_VTAR_C_COLDVSNA_OFFER_2">Предложение!$G$128</definedName>
    <definedName name="pIns_PT_VTAR_C_COLDVSNA_OFFER_3">Предложение!$G$192</definedName>
    <definedName name="pIns_PT_VTAR_C_COLDVSNA_OFFER_4">Предложение!$G$256</definedName>
    <definedName name="pIns_PT_VTAR_C_COLDVSNA_OFFER_5">Предложение!$G$320</definedName>
    <definedName name="pIns_PT_VTAR_C_HOTVSNA">'ГВС. Т-подкл'!$T$63</definedName>
    <definedName name="pIns_PT_VTAR_C_HOTVSNA_OFFER_1">Предложение!$G$77</definedName>
    <definedName name="pIns_PT_VTAR_C_HOTVSNA_OFFER_2">Предложение!$G$143</definedName>
    <definedName name="pIns_PT_VTAR_C_HOTVSNA_OFFER_3">Предложение!$G$207</definedName>
    <definedName name="pIns_PT_VTAR_C_HOTVSNA_OFFER_4">Предложение!$G$271</definedName>
    <definedName name="pIns_PT_VTAR_C_HOTVSNA_OFFER_5">Предложение!$G$335</definedName>
    <definedName name="pIns_PT_VTAR_C_OFFER_1">Предложение!$G$32</definedName>
    <definedName name="pIns_PT_VTAR_C_OFFER_2">Предложение!$G$98</definedName>
    <definedName name="pIns_PT_VTAR_C_OFFER_3">Предложение!$G$162</definedName>
    <definedName name="pIns_PT_VTAR_C_OFFER_4">Предложение!$G$226</definedName>
    <definedName name="pIns_PT_VTAR_C_OFFER_5">Предложение!$G$290</definedName>
    <definedName name="pIns_PT_VTAR_C_VOTV">'ВО. Т-подкл'!$T$63</definedName>
    <definedName name="pIns_PT_VTAR_C_VOTV_OFFER_1">Предложение!$G$86</definedName>
    <definedName name="pIns_PT_VTAR_C_VOTV_OFFER_2">Предложение!$G$152</definedName>
    <definedName name="pIns_PT_VTAR_C_VOTV_OFFER_3">Предложение!$G$216</definedName>
    <definedName name="pIns_PT_VTAR_C_VOTV_OFFER_4">Предложение!$G$280</definedName>
    <definedName name="pIns_PT_VTAR_C_VOTV_OFFER_5">Предложение!$G$344</definedName>
    <definedName name="pIns_PT_VTAR_D">'ТС. Т-гор.вода'!$V$65</definedName>
    <definedName name="pIns_PT_VTAR_D_COLDVSNA">'ХВС. Т-подвоз'!$T$53</definedName>
    <definedName name="pIns_PT_VTAR_D_COLDVSNA_OFFER_1">Предложение!$G$65</definedName>
    <definedName name="pIns_PT_VTAR_D_COLDVSNA_OFFER_2">Предложение!$G$131</definedName>
    <definedName name="pIns_PT_VTAR_D_COLDVSNA_OFFER_3">Предложение!$G$195</definedName>
    <definedName name="pIns_PT_VTAR_D_COLDVSNA_OFFER_4">Предложение!$G$259</definedName>
    <definedName name="pIns_PT_VTAR_D_COLDVSNA_OFFER_5">Предложение!$G$323</definedName>
    <definedName name="pIns_PT_VTAR_D_OFFER_1">Предложение!$G$35</definedName>
    <definedName name="pIns_PT_VTAR_D_OFFER_2">Предложение!$G$101</definedName>
    <definedName name="pIns_PT_VTAR_D_OFFER_3">Предложение!$G$165</definedName>
    <definedName name="pIns_PT_VTAR_D_OFFER_4">Предложение!$G$229</definedName>
    <definedName name="pIns_PT_VTAR_D_OFFER_5">Предложение!$G$293</definedName>
    <definedName name="pIns_PT_VTAR_E_COLDVSNA">'ХВС. Т-подкл'!$T$63</definedName>
    <definedName name="pIns_PT_VTAR_E_COLDVSNA_OFFER_1">Предложение!$G$68</definedName>
    <definedName name="pIns_PT_VTAR_E_COLDVSNA_OFFER_2">Предложение!$G$134</definedName>
    <definedName name="pIns_PT_VTAR_E_COLDVSNA_OFFER_3">Предложение!$G$198</definedName>
    <definedName name="pIns_PT_VTAR_E_COLDVSNA_OFFER_4">Предложение!$G$262</definedName>
    <definedName name="pIns_PT_VTAR_E_COLDVSNA_OFFER_5">Предложение!$G$326</definedName>
    <definedName name="pIns_PT_VTAR_E1">'ТС. Т-передача ТЭ'!$T$57</definedName>
    <definedName name="pIns_PT_VTAR_E1_OFFER_1">Предложение!$G$38</definedName>
    <definedName name="pIns_PT_VTAR_E1_OFFER_2">Предложение!$G$104</definedName>
    <definedName name="pIns_PT_VTAR_E1_OFFER_3">Предложение!$G$168</definedName>
    <definedName name="pIns_PT_VTAR_E1_OFFER_4">Предложение!$G$232</definedName>
    <definedName name="pIns_PT_VTAR_E1_OFFER_5">Предложение!$G$296</definedName>
    <definedName name="pIns_PT_VTAR_E2">'ТС. Т-передача ТН'!$T$57</definedName>
    <definedName name="pIns_PT_VTAR_E2_OFFER_1">Предложение!$G$41</definedName>
    <definedName name="pIns_PT_VTAR_E2_OFFER_2">Предложение!$G$107</definedName>
    <definedName name="pIns_PT_VTAR_E2_OFFER_3">Предложение!$G$171</definedName>
    <definedName name="pIns_PT_VTAR_E2_OFFER_4">Предложение!$G$235</definedName>
    <definedName name="pIns_PT_VTAR_E2_OFFER_5">Предложение!$G$299</definedName>
    <definedName name="pIns_PT_VTAR_F">'ТС. Резерв мощности'!$T$57</definedName>
    <definedName name="pIns_PT_VTAR_F_OFFER_1">Предложение!$G$44</definedName>
    <definedName name="pIns_PT_VTAR_F_OFFER_2">Предложение!$G$110</definedName>
    <definedName name="pIns_PT_VTAR_F_OFFER_3">Предложение!$G$174</definedName>
    <definedName name="pIns_PT_VTAR_F_OFFER_4">Предложение!$G$238</definedName>
    <definedName name="pIns_PT_VTAR_F_OFFER_5">Предложение!$G$302</definedName>
    <definedName name="pIns_PT_VTAR_G">'ТС. Т-подкл'!$T$62</definedName>
    <definedName name="pIns_PT_VTAR_G_OFFER_1">Предложение!$G$47</definedName>
    <definedName name="pIns_PT_VTAR_G_OFFER_2">Предложение!$G$113</definedName>
    <definedName name="pIns_PT_VTAR_G_OFFER_3">Предложение!$G$177</definedName>
    <definedName name="pIns_PT_VTAR_G_OFFER_4">Предложение!$G$241</definedName>
    <definedName name="pIns_PT_VTAR_G_OFFER_5">Предложение!$G$305</definedName>
    <definedName name="pIns_PT_VTAR_H">'ТС. Т-подкл(инд)'!$T$56</definedName>
    <definedName name="pIns_PT_VTAR_H_OFFER_1">Предложение!$G$50</definedName>
    <definedName name="pIns_PT_VTAR_H_OFFER_2">Предложение!$G$116</definedName>
    <definedName name="pIns_PT_VTAR_H_OFFER_3">Предложение!$G$180</definedName>
    <definedName name="pIns_PT_VTAR_H_OFFER_4">Предложение!$G$244</definedName>
    <definedName name="pIns_PT_VTAR_H_OFFER_5">Предложение!$G$308</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Т-тех'!$BE$37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Предложение!$L$345</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Предложение!$L$345</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Т-тех'!$BE$54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F130" i="33" s="1"/>
  <c r="I101" i="63"/>
  <c r="L101" i="63" s="1"/>
  <c r="K100" i="63"/>
  <c r="N100" i="63" s="1"/>
  <c r="J129" i="33" s="1"/>
  <c r="J100" i="63"/>
  <c r="M100" i="63" s="1"/>
  <c r="F129" i="33" s="1"/>
  <c r="I100" i="63"/>
  <c r="L100" i="63" s="1"/>
  <c r="E129" i="33" s="1"/>
  <c r="K99" i="63"/>
  <c r="N99" i="63" s="1"/>
  <c r="J128" i="33" s="1"/>
  <c r="J99" i="63"/>
  <c r="M99" i="63" s="1"/>
  <c r="F128" i="33" s="1"/>
  <c r="I99" i="63"/>
  <c r="L99" i="63" s="1"/>
  <c r="E128" i="33" s="1"/>
  <c r="M98" i="63"/>
  <c r="K98" i="63"/>
  <c r="N98" i="63" s="1"/>
  <c r="J127" i="33" s="1"/>
  <c r="J98" i="63"/>
  <c r="I98" i="63"/>
  <c r="L98" i="63" s="1"/>
  <c r="E127" i="33" s="1"/>
  <c r="K97" i="63"/>
  <c r="N97" i="63" s="1"/>
  <c r="J126" i="33" s="1"/>
  <c r="J97" i="63"/>
  <c r="M97" i="63" s="1"/>
  <c r="F126" i="33" s="1"/>
  <c r="I97" i="63"/>
  <c r="L97" i="63" s="1"/>
  <c r="E126" i="33" s="1"/>
  <c r="M96" i="63"/>
  <c r="K96" i="63"/>
  <c r="N96" i="63" s="1"/>
  <c r="J123" i="33" s="1"/>
  <c r="J96" i="63"/>
  <c r="I96" i="63"/>
  <c r="L96" i="63" s="1"/>
  <c r="E123" i="33" s="1"/>
  <c r="E124" i="33" s="1"/>
  <c r="K95" i="63"/>
  <c r="N95" i="63" s="1"/>
  <c r="J120" i="33" s="1"/>
  <c r="J95" i="63"/>
  <c r="M95" i="63" s="1"/>
  <c r="F120" i="33" s="1"/>
  <c r="I95" i="63"/>
  <c r="L95" i="63" s="1"/>
  <c r="E120" i="33" s="1"/>
  <c r="E121" i="33" s="1"/>
  <c r="M94" i="63"/>
  <c r="K94" i="63"/>
  <c r="N94" i="63" s="1"/>
  <c r="J117" i="33" s="1"/>
  <c r="J94" i="63"/>
  <c r="I94" i="63"/>
  <c r="L94" i="63" s="1"/>
  <c r="E117" i="33" s="1"/>
  <c r="E118" i="33" s="1"/>
  <c r="K93" i="63"/>
  <c r="N93" i="63" s="1"/>
  <c r="J116" i="33" s="1"/>
  <c r="J93" i="63"/>
  <c r="M93" i="63" s="1"/>
  <c r="F116" i="33" s="1"/>
  <c r="I93" i="63"/>
  <c r="L93" i="63" s="1"/>
  <c r="E116" i="33" s="1"/>
  <c r="M92" i="63"/>
  <c r="K92" i="63"/>
  <c r="N92" i="63" s="1"/>
  <c r="J115" i="33" s="1"/>
  <c r="J92" i="63"/>
  <c r="I92" i="63"/>
  <c r="L92" i="63" s="1"/>
  <c r="E115" i="33" s="1"/>
  <c r="K91" i="63"/>
  <c r="N91" i="63" s="1"/>
  <c r="J91" i="63"/>
  <c r="M91" i="63" s="1"/>
  <c r="F114" i="33" s="1"/>
  <c r="I91" i="63"/>
  <c r="L91" i="63" s="1"/>
  <c r="M90" i="63"/>
  <c r="K90" i="63"/>
  <c r="N90" i="63" s="1"/>
  <c r="J113" i="33" s="1"/>
  <c r="J90" i="63"/>
  <c r="I90" i="63"/>
  <c r="L90" i="63" s="1"/>
  <c r="E113" i="33" s="1"/>
  <c r="K89" i="63"/>
  <c r="N89" i="63" s="1"/>
  <c r="J112" i="33" s="1"/>
  <c r="J89" i="63"/>
  <c r="M89" i="63" s="1"/>
  <c r="F112" i="33" s="1"/>
  <c r="I89" i="63"/>
  <c r="L89" i="63" s="1"/>
  <c r="E112" i="33" s="1"/>
  <c r="M88" i="63"/>
  <c r="K88" i="63"/>
  <c r="N88" i="63" s="1"/>
  <c r="J111" i="33" s="1"/>
  <c r="J88" i="63"/>
  <c r="I88" i="63"/>
  <c r="L88" i="63" s="1"/>
  <c r="E111" i="33" s="1"/>
  <c r="K87" i="63"/>
  <c r="N87" i="63" s="1"/>
  <c r="J110" i="33" s="1"/>
  <c r="J87" i="63"/>
  <c r="M87" i="63" s="1"/>
  <c r="F110" i="33" s="1"/>
  <c r="I87" i="63"/>
  <c r="L87" i="63" s="1"/>
  <c r="M86" i="63"/>
  <c r="K86" i="63"/>
  <c r="N86" i="63" s="1"/>
  <c r="J109" i="33" s="1"/>
  <c r="J86" i="63"/>
  <c r="I86" i="63"/>
  <c r="L86" i="63" s="1"/>
  <c r="E109" i="33" s="1"/>
  <c r="K85" i="63"/>
  <c r="N85" i="63" s="1"/>
  <c r="J108" i="33" s="1"/>
  <c r="J85" i="63"/>
  <c r="M85" i="63" s="1"/>
  <c r="F108" i="33" s="1"/>
  <c r="I85" i="63"/>
  <c r="L85" i="63" s="1"/>
  <c r="E108" i="33" s="1"/>
  <c r="M84" i="63"/>
  <c r="K84" i="63"/>
  <c r="N84" i="63" s="1"/>
  <c r="J107" i="33" s="1"/>
  <c r="J84" i="63"/>
  <c r="I84" i="63"/>
  <c r="L84" i="63" s="1"/>
  <c r="E107" i="33" s="1"/>
  <c r="M83" i="63"/>
  <c r="K83" i="63"/>
  <c r="N83" i="63" s="1"/>
  <c r="J83" i="63"/>
  <c r="I83" i="63"/>
  <c r="L83" i="63" s="1"/>
  <c r="E106" i="33" s="1"/>
  <c r="M82" i="63"/>
  <c r="K82" i="63"/>
  <c r="N82" i="63" s="1"/>
  <c r="J105" i="33" s="1"/>
  <c r="J82" i="63"/>
  <c r="I82" i="63"/>
  <c r="L82" i="63" s="1"/>
  <c r="E105" i="33" s="1"/>
  <c r="K81" i="63"/>
  <c r="N81" i="63" s="1"/>
  <c r="J104" i="33" s="1"/>
  <c r="J81" i="63"/>
  <c r="M81" i="63" s="1"/>
  <c r="F104" i="33" s="1"/>
  <c r="I81" i="63"/>
  <c r="L81" i="63" s="1"/>
  <c r="E104" i="33" s="1"/>
  <c r="M80" i="63"/>
  <c r="K80" i="63"/>
  <c r="N80" i="63" s="1"/>
  <c r="J103" i="33" s="1"/>
  <c r="J80" i="63"/>
  <c r="I80" i="63"/>
  <c r="L80" i="63" s="1"/>
  <c r="E103" i="33" s="1"/>
  <c r="M79" i="63"/>
  <c r="K79" i="63"/>
  <c r="N79" i="63" s="1"/>
  <c r="J79" i="63"/>
  <c r="I79" i="63"/>
  <c r="L79" i="63" s="1"/>
  <c r="M78" i="63"/>
  <c r="K78" i="63"/>
  <c r="N78" i="63" s="1"/>
  <c r="J99" i="33" s="1"/>
  <c r="J78" i="63"/>
  <c r="I78" i="63"/>
  <c r="L78" i="63" s="1"/>
  <c r="E99" i="33" s="1"/>
  <c r="E100" i="33" s="1"/>
  <c r="K77" i="63"/>
  <c r="N77" i="63" s="1"/>
  <c r="J98" i="33" s="1"/>
  <c r="J77" i="63"/>
  <c r="M77" i="63" s="1"/>
  <c r="F98" i="33" s="1"/>
  <c r="I77" i="63"/>
  <c r="L77" i="63" s="1"/>
  <c r="E98" i="33" s="1"/>
  <c r="M76" i="63"/>
  <c r="K76" i="63"/>
  <c r="N76" i="63" s="1"/>
  <c r="J97" i="33" s="1"/>
  <c r="J76" i="63"/>
  <c r="I76" i="63"/>
  <c r="L76" i="63" s="1"/>
  <c r="E97" i="33" s="1"/>
  <c r="K75" i="63"/>
  <c r="N75" i="63" s="1"/>
  <c r="J96" i="33" s="1"/>
  <c r="J75" i="63"/>
  <c r="M75" i="63" s="1"/>
  <c r="F96" i="33" s="1"/>
  <c r="I75" i="63"/>
  <c r="L75" i="63" s="1"/>
  <c r="M74" i="63"/>
  <c r="K74" i="63"/>
  <c r="N74" i="63" s="1"/>
  <c r="J95" i="33" s="1"/>
  <c r="J74" i="63"/>
  <c r="I74" i="63"/>
  <c r="L74" i="63" s="1"/>
  <c r="E95" i="33" s="1"/>
  <c r="K73" i="63"/>
  <c r="N73" i="63" s="1"/>
  <c r="J94" i="33" s="1"/>
  <c r="J73" i="63"/>
  <c r="M73" i="63" s="1"/>
  <c r="F94" i="33" s="1"/>
  <c r="I73" i="63"/>
  <c r="L73" i="63" s="1"/>
  <c r="E94" i="33" s="1"/>
  <c r="L72" i="63"/>
  <c r="K72" i="63"/>
  <c r="N72" i="63" s="1"/>
  <c r="J93" i="33" s="1"/>
  <c r="J72" i="63"/>
  <c r="M72" i="63" s="1"/>
  <c r="F93" i="33" s="1"/>
  <c r="I72" i="63"/>
  <c r="K71" i="63"/>
  <c r="N71" i="63" s="1"/>
  <c r="J92" i="33" s="1"/>
  <c r="J71" i="63"/>
  <c r="M71" i="63" s="1"/>
  <c r="F92" i="33" s="1"/>
  <c r="I71" i="63"/>
  <c r="L71" i="63" s="1"/>
  <c r="K70" i="63"/>
  <c r="N70" i="63" s="1"/>
  <c r="J91" i="33" s="1"/>
  <c r="J70" i="63"/>
  <c r="M70" i="63" s="1"/>
  <c r="I70" i="63"/>
  <c r="L70" i="63" s="1"/>
  <c r="E91" i="33" s="1"/>
  <c r="K69" i="63"/>
  <c r="N69" i="63" s="1"/>
  <c r="J90" i="33" s="1"/>
  <c r="J69" i="63"/>
  <c r="M69" i="63" s="1"/>
  <c r="F90" i="33" s="1"/>
  <c r="I69" i="63"/>
  <c r="L69" i="63" s="1"/>
  <c r="E90" i="33" s="1"/>
  <c r="K68" i="63"/>
  <c r="N68" i="63" s="1"/>
  <c r="J89" i="33" s="1"/>
  <c r="J68" i="63"/>
  <c r="M68" i="63" s="1"/>
  <c r="F89" i="33" s="1"/>
  <c r="I68" i="63"/>
  <c r="L68" i="63" s="1"/>
  <c r="E89" i="33" s="1"/>
  <c r="K67" i="63"/>
  <c r="N67" i="63" s="1"/>
  <c r="J88" i="33" s="1"/>
  <c r="J67" i="63"/>
  <c r="M67" i="63" s="1"/>
  <c r="I67" i="63"/>
  <c r="L67" i="63" s="1"/>
  <c r="K66" i="63"/>
  <c r="N66" i="63" s="1"/>
  <c r="J87" i="33" s="1"/>
  <c r="J66" i="63"/>
  <c r="M66" i="63" s="1"/>
  <c r="F87" i="33" s="1"/>
  <c r="I66" i="63"/>
  <c r="L66" i="63" s="1"/>
  <c r="E87" i="33" s="1"/>
  <c r="K65" i="63"/>
  <c r="N65" i="63" s="1"/>
  <c r="J86" i="33" s="1"/>
  <c r="J65" i="63"/>
  <c r="M65" i="63" s="1"/>
  <c r="F86" i="33" s="1"/>
  <c r="I65" i="63"/>
  <c r="L65" i="63" s="1"/>
  <c r="E86" i="33" s="1"/>
  <c r="K64" i="63"/>
  <c r="N64" i="63" s="1"/>
  <c r="J85" i="33" s="1"/>
  <c r="J64" i="63"/>
  <c r="M64" i="63" s="1"/>
  <c r="F85" i="33" s="1"/>
  <c r="I64" i="63"/>
  <c r="L64" i="63" s="1"/>
  <c r="E85" i="33" s="1"/>
  <c r="K63" i="63"/>
  <c r="N63" i="63" s="1"/>
  <c r="J63" i="63"/>
  <c r="M63" i="63" s="1"/>
  <c r="I63" i="63"/>
  <c r="L63" i="63" s="1"/>
  <c r="K62" i="63"/>
  <c r="N62" i="63" s="1"/>
  <c r="J83" i="33" s="1"/>
  <c r="J62" i="63"/>
  <c r="M62" i="63" s="1"/>
  <c r="F83" i="33" s="1"/>
  <c r="I62" i="63"/>
  <c r="L62" i="63" s="1"/>
  <c r="E83" i="33" s="1"/>
  <c r="K61" i="63"/>
  <c r="N61" i="63" s="1"/>
  <c r="J82" i="33" s="1"/>
  <c r="J61" i="63"/>
  <c r="M61" i="63" s="1"/>
  <c r="F82" i="33" s="1"/>
  <c r="I61" i="63"/>
  <c r="L61" i="63" s="1"/>
  <c r="E82" i="33" s="1"/>
  <c r="K60" i="63"/>
  <c r="N60" i="63" s="1"/>
  <c r="J81" i="33" s="1"/>
  <c r="J60" i="63"/>
  <c r="M60" i="63" s="1"/>
  <c r="F81" i="33" s="1"/>
  <c r="I60" i="63"/>
  <c r="L60" i="63" s="1"/>
  <c r="E81" i="33" s="1"/>
  <c r="K59" i="63"/>
  <c r="N59" i="63" s="1"/>
  <c r="J59" i="63"/>
  <c r="M59" i="63" s="1"/>
  <c r="I59" i="63"/>
  <c r="L59" i="63" s="1"/>
  <c r="T58" i="63"/>
  <c r="L58" i="63"/>
  <c r="K58" i="63"/>
  <c r="N58" i="63" s="1"/>
  <c r="J79" i="33" s="1"/>
  <c r="J58" i="63"/>
  <c r="M58" i="63" s="1"/>
  <c r="F79" i="33" s="1"/>
  <c r="I58" i="63"/>
  <c r="T57" i="63"/>
  <c r="K57" i="63"/>
  <c r="N57" i="63" s="1"/>
  <c r="J78" i="33" s="1"/>
  <c r="J57" i="63"/>
  <c r="M57" i="63" s="1"/>
  <c r="F78" i="33" s="1"/>
  <c r="I57" i="63"/>
  <c r="L57" i="63" s="1"/>
  <c r="E78" i="33" s="1"/>
  <c r="T56" i="63"/>
  <c r="M56" i="63"/>
  <c r="K56" i="63"/>
  <c r="N56" i="63" s="1"/>
  <c r="J77" i="33" s="1"/>
  <c r="J56" i="63"/>
  <c r="I56" i="63"/>
  <c r="L56" i="63" s="1"/>
  <c r="E77" i="33" s="1"/>
  <c r="T55" i="63"/>
  <c r="L55" i="63"/>
  <c r="K55" i="63"/>
  <c r="N55" i="63" s="1"/>
  <c r="J55" i="63"/>
  <c r="M55" i="63" s="1"/>
  <c r="I55" i="63"/>
  <c r="N54" i="63"/>
  <c r="M54" i="63"/>
  <c r="K54" i="63"/>
  <c r="J54" i="63"/>
  <c r="I54" i="63"/>
  <c r="L54" i="63" s="1"/>
  <c r="E75" i="33" s="1"/>
  <c r="K53" i="63"/>
  <c r="N53" i="63" s="1"/>
  <c r="J74" i="33" s="1"/>
  <c r="J53" i="63"/>
  <c r="M53" i="63" s="1"/>
  <c r="F74" i="33" s="1"/>
  <c r="I53" i="63"/>
  <c r="L53" i="63" s="1"/>
  <c r="E74" i="33" s="1"/>
  <c r="N52" i="63"/>
  <c r="K52" i="63"/>
  <c r="J52" i="63"/>
  <c r="M52" i="63" s="1"/>
  <c r="F73" i="33" s="1"/>
  <c r="I52" i="63"/>
  <c r="L52" i="63" s="1"/>
  <c r="L51" i="63"/>
  <c r="K51" i="63"/>
  <c r="N51" i="63" s="1"/>
  <c r="J72" i="33" s="1"/>
  <c r="J51" i="63"/>
  <c r="M51" i="63" s="1"/>
  <c r="F72" i="33" s="1"/>
  <c r="I51" i="63"/>
  <c r="K50" i="63"/>
  <c r="N50" i="63" s="1"/>
  <c r="J69" i="33" s="1"/>
  <c r="J50" i="63"/>
  <c r="M50" i="63" s="1"/>
  <c r="F69" i="33" s="1"/>
  <c r="I50" i="63"/>
  <c r="L50" i="63" s="1"/>
  <c r="E69" i="33" s="1"/>
  <c r="K49" i="63"/>
  <c r="N49" i="63" s="1"/>
  <c r="J49" i="63"/>
  <c r="M49" i="63" s="1"/>
  <c r="I49" i="63"/>
  <c r="L49" i="63" s="1"/>
  <c r="E68" i="33" s="1"/>
  <c r="K68" i="33" s="1"/>
  <c r="M48" i="63"/>
  <c r="K48" i="63"/>
  <c r="N48" i="63" s="1"/>
  <c r="J67" i="33" s="1"/>
  <c r="J48" i="63"/>
  <c r="I48" i="63"/>
  <c r="L48" i="63" s="1"/>
  <c r="E67" i="33" s="1"/>
  <c r="K67" i="33" s="1"/>
  <c r="L47" i="63"/>
  <c r="K47" i="63"/>
  <c r="N47" i="63" s="1"/>
  <c r="J66" i="33" s="1"/>
  <c r="L66" i="33" s="1"/>
  <c r="J47" i="63"/>
  <c r="M47" i="63" s="1"/>
  <c r="I47" i="63"/>
  <c r="T46" i="63"/>
  <c r="N46" i="63"/>
  <c r="L46" i="63"/>
  <c r="K46" i="63"/>
  <c r="J46" i="63"/>
  <c r="M46" i="63" s="1"/>
  <c r="F65" i="33" s="1"/>
  <c r="I46" i="63"/>
  <c r="K45" i="63"/>
  <c r="N45" i="63" s="1"/>
  <c r="J64" i="33" s="1"/>
  <c r="J45" i="63"/>
  <c r="M45" i="63" s="1"/>
  <c r="F64" i="33" s="1"/>
  <c r="I45" i="63"/>
  <c r="L45" i="63" s="1"/>
  <c r="E64" i="33" s="1"/>
  <c r="K64" i="33" s="1"/>
  <c r="K44" i="63"/>
  <c r="N44" i="63" s="1"/>
  <c r="J63" i="33" s="1"/>
  <c r="J44" i="63"/>
  <c r="M44" i="63" s="1"/>
  <c r="I44" i="63"/>
  <c r="L44" i="63" s="1"/>
  <c r="E63" i="33" s="1"/>
  <c r="K63" i="33" s="1"/>
  <c r="K43" i="63"/>
  <c r="N43" i="63" s="1"/>
  <c r="J62" i="33" s="1"/>
  <c r="J43" i="63"/>
  <c r="M43" i="63" s="1"/>
  <c r="F62" i="33" s="1"/>
  <c r="I43" i="63"/>
  <c r="L43" i="63" s="1"/>
  <c r="E62" i="33" s="1"/>
  <c r="N42" i="63"/>
  <c r="L42" i="63"/>
  <c r="K42" i="63"/>
  <c r="J42" i="63"/>
  <c r="M42" i="63" s="1"/>
  <c r="F61" i="33" s="1"/>
  <c r="I42" i="63"/>
  <c r="M41" i="63"/>
  <c r="K41" i="63"/>
  <c r="N41" i="63" s="1"/>
  <c r="J60" i="33" s="1"/>
  <c r="J41" i="63"/>
  <c r="I41" i="63"/>
  <c r="L41" i="63" s="1"/>
  <c r="E60" i="33" s="1"/>
  <c r="K60" i="33" s="1"/>
  <c r="N40" i="63"/>
  <c r="K40" i="63"/>
  <c r="J40" i="63"/>
  <c r="M40" i="63" s="1"/>
  <c r="F59" i="33" s="1"/>
  <c r="I40" i="63"/>
  <c r="L40" i="63" s="1"/>
  <c r="E59" i="33" s="1"/>
  <c r="K59" i="33" s="1"/>
  <c r="M39" i="63"/>
  <c r="K39" i="63"/>
  <c r="N39" i="63" s="1"/>
  <c r="J58" i="33" s="1"/>
  <c r="J39" i="63"/>
  <c r="I39" i="63"/>
  <c r="L39" i="63" s="1"/>
  <c r="E58" i="33" s="1"/>
  <c r="K58" i="33" s="1"/>
  <c r="K38" i="63"/>
  <c r="N38" i="63" s="1"/>
  <c r="J57" i="33" s="1"/>
  <c r="J38" i="63"/>
  <c r="M38" i="63" s="1"/>
  <c r="F57" i="33" s="1"/>
  <c r="I38" i="63"/>
  <c r="L38" i="63" s="1"/>
  <c r="E57" i="33" s="1"/>
  <c r="K57" i="33" s="1"/>
  <c r="K37" i="63"/>
  <c r="N37" i="63" s="1"/>
  <c r="J37" i="63"/>
  <c r="M37" i="63" s="1"/>
  <c r="F56" i="33" s="1"/>
  <c r="I37" i="63"/>
  <c r="L37" i="63" s="1"/>
  <c r="E56" i="33" s="1"/>
  <c r="N36" i="63"/>
  <c r="K36" i="63"/>
  <c r="J36" i="63"/>
  <c r="M36" i="63" s="1"/>
  <c r="F55" i="33" s="1"/>
  <c r="I36" i="63"/>
  <c r="L36" i="63" s="1"/>
  <c r="E55" i="33" s="1"/>
  <c r="K55" i="33" s="1"/>
  <c r="T35" i="63"/>
  <c r="L35" i="63"/>
  <c r="E54" i="33" s="1"/>
  <c r="K54" i="33" s="1"/>
  <c r="K35" i="63"/>
  <c r="N35" i="63" s="1"/>
  <c r="J54" i="33" s="1"/>
  <c r="J35" i="63"/>
  <c r="M35" i="63" s="1"/>
  <c r="I35" i="63"/>
  <c r="K34" i="63"/>
  <c r="N34" i="63" s="1"/>
  <c r="J34" i="63"/>
  <c r="M34" i="63" s="1"/>
  <c r="F53" i="33" s="1"/>
  <c r="I34" i="63"/>
  <c r="L34" i="63" s="1"/>
  <c r="E53" i="33" s="1"/>
  <c r="T33" i="63"/>
  <c r="L33" i="63"/>
  <c r="K33" i="63"/>
  <c r="N33" i="63" s="1"/>
  <c r="J52" i="33" s="1"/>
  <c r="J33" i="63"/>
  <c r="M33" i="63" s="1"/>
  <c r="F52" i="33" s="1"/>
  <c r="I33" i="63"/>
  <c r="T32" i="63"/>
  <c r="K32" i="63"/>
  <c r="N32" i="63" s="1"/>
  <c r="J51" i="33" s="1"/>
  <c r="J32" i="63"/>
  <c r="M32" i="63" s="1"/>
  <c r="I32" i="63"/>
  <c r="L32" i="63" s="1"/>
  <c r="E51" i="33" s="1"/>
  <c r="K51" i="33" s="1"/>
  <c r="N31" i="63"/>
  <c r="M31" i="63"/>
  <c r="K31" i="63"/>
  <c r="J31" i="63"/>
  <c r="I31" i="63"/>
  <c r="L31" i="63" s="1"/>
  <c r="E50" i="33" s="1"/>
  <c r="K50" i="33" s="1"/>
  <c r="K30" i="63"/>
  <c r="N30" i="63" s="1"/>
  <c r="J49" i="33" s="1"/>
  <c r="J30" i="63"/>
  <c r="M30" i="63" s="1"/>
  <c r="F49" i="33" s="1"/>
  <c r="I30" i="63"/>
  <c r="L30" i="63" s="1"/>
  <c r="E49" i="33" s="1"/>
  <c r="K49" i="33" s="1"/>
  <c r="T29" i="63"/>
  <c r="N29" i="63"/>
  <c r="M29" i="63"/>
  <c r="L29" i="63"/>
  <c r="K29" i="63"/>
  <c r="J29" i="63"/>
  <c r="I29" i="63"/>
  <c r="K28" i="63"/>
  <c r="N28" i="63" s="1"/>
  <c r="J28" i="63"/>
  <c r="M28" i="63" s="1"/>
  <c r="F47" i="33" s="1"/>
  <c r="I28" i="63"/>
  <c r="L28" i="63" s="1"/>
  <c r="E47" i="33" s="1"/>
  <c r="K47" i="33" s="1"/>
  <c r="M27" i="63"/>
  <c r="F46" i="33" s="1"/>
  <c r="K27" i="63"/>
  <c r="N27" i="63" s="1"/>
  <c r="J46" i="33" s="1"/>
  <c r="J27" i="63"/>
  <c r="I27" i="63"/>
  <c r="L27" i="63" s="1"/>
  <c r="E46" i="33" s="1"/>
  <c r="K46" i="33" s="1"/>
  <c r="T26" i="63"/>
  <c r="K26" i="63"/>
  <c r="N26" i="63" s="1"/>
  <c r="J45" i="33" s="1"/>
  <c r="J26" i="63"/>
  <c r="M26" i="63" s="1"/>
  <c r="I26" i="63"/>
  <c r="L26" i="63" s="1"/>
  <c r="E45" i="33" s="1"/>
  <c r="K45" i="33" s="1"/>
  <c r="M25" i="63"/>
  <c r="F44" i="33" s="1"/>
  <c r="K25" i="63"/>
  <c r="N25" i="63" s="1"/>
  <c r="J44" i="33" s="1"/>
  <c r="J25" i="63"/>
  <c r="I25" i="63"/>
  <c r="L25" i="63" s="1"/>
  <c r="E44" i="33" s="1"/>
  <c r="L24" i="63"/>
  <c r="K24" i="63"/>
  <c r="N24" i="63" s="1"/>
  <c r="J43" i="33" s="1"/>
  <c r="J24" i="63"/>
  <c r="M24" i="63" s="1"/>
  <c r="F43" i="33" s="1"/>
  <c r="I24" i="63"/>
  <c r="N23" i="63"/>
  <c r="J42" i="33" s="1"/>
  <c r="K23" i="63"/>
  <c r="J23" i="63"/>
  <c r="M23" i="63" s="1"/>
  <c r="F42" i="33" s="1"/>
  <c r="I23" i="63"/>
  <c r="L23" i="63" s="1"/>
  <c r="E42" i="33" s="1"/>
  <c r="K42" i="33" s="1"/>
  <c r="L22" i="63"/>
  <c r="K22" i="63"/>
  <c r="N22" i="63" s="1"/>
  <c r="J22" i="63"/>
  <c r="M22" i="63" s="1"/>
  <c r="F41" i="33" s="1"/>
  <c r="I22" i="63"/>
  <c r="N21" i="63"/>
  <c r="K21" i="63"/>
  <c r="J21" i="63"/>
  <c r="M21" i="63" s="1"/>
  <c r="F33" i="33" s="1"/>
  <c r="I21" i="63"/>
  <c r="L21" i="63" s="1"/>
  <c r="E33" i="33" s="1"/>
  <c r="K20" i="63"/>
  <c r="N20" i="63" s="1"/>
  <c r="J32" i="33" s="1"/>
  <c r="J20" i="63"/>
  <c r="M20" i="63" s="1"/>
  <c r="F32" i="33" s="1"/>
  <c r="I20" i="63"/>
  <c r="L20" i="63" s="1"/>
  <c r="E32" i="33" s="1"/>
  <c r="K32" i="33" s="1"/>
  <c r="M19" i="63"/>
  <c r="K19" i="63"/>
  <c r="N19" i="63" s="1"/>
  <c r="J31" i="33" s="1"/>
  <c r="J19" i="63"/>
  <c r="I19" i="63"/>
  <c r="L19" i="63" s="1"/>
  <c r="E31" i="33" s="1"/>
  <c r="K18" i="63"/>
  <c r="N18" i="63" s="1"/>
  <c r="J30" i="33" s="1"/>
  <c r="J18" i="63"/>
  <c r="M18" i="63" s="1"/>
  <c r="F30" i="33" s="1"/>
  <c r="I18" i="63"/>
  <c r="L18" i="63" s="1"/>
  <c r="E30" i="33" s="1"/>
  <c r="N14" i="63"/>
  <c r="I18" i="45" s="1"/>
  <c r="M13" i="63"/>
  <c r="M12" i="63"/>
  <c r="M11" i="63"/>
  <c r="N3" i="63"/>
  <c r="C34" i="62"/>
  <c r="E31" i="62"/>
  <c r="C31" i="62"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s="1"/>
  <c r="F19" i="61"/>
  <c r="O14" i="61"/>
  <c r="M14" i="61" a="1"/>
  <c r="M14" i="61" s="1"/>
  <c r="F14" i="61"/>
  <c r="E14" i="61"/>
  <c r="E13" i="61"/>
  <c r="G13" i="61" s="1"/>
  <c r="F13" i="56"/>
  <c r="E7" i="56"/>
  <c r="F2" i="56"/>
  <c r="P10" i="55" a="1"/>
  <c r="P10" i="55" s="1"/>
  <c r="L10" i="55"/>
  <c r="R10" i="55" s="1"/>
  <c r="K8" i="55"/>
  <c r="E5" i="55"/>
  <c r="R2" i="55"/>
  <c r="P2" i="55" a="1"/>
  <c r="P2" i="55" s="1"/>
  <c r="P10" i="54" a="1"/>
  <c r="P10" i="54" s="1"/>
  <c r="K8" i="54"/>
  <c r="J8" i="54"/>
  <c r="G8" i="54"/>
  <c r="F8" i="54"/>
  <c r="R2" i="54"/>
  <c r="P2" i="54" a="1"/>
  <c r="P2" i="54"/>
  <c r="N9" i="53" a="1"/>
  <c r="N9" i="53" s="1"/>
  <c r="J9" i="53"/>
  <c r="P9" i="53" s="1"/>
  <c r="E5" i="53"/>
  <c r="P2" i="53"/>
  <c r="N2" i="53" a="1"/>
  <c r="N2" i="53" s="1"/>
  <c r="G24" i="52"/>
  <c r="E24" i="52"/>
  <c r="G12" i="52"/>
  <c r="F12" i="52"/>
  <c r="F2" i="54" s="1"/>
  <c r="E12" i="52"/>
  <c r="D6" i="52"/>
  <c r="D5" i="52"/>
  <c r="BA115" i="51"/>
  <c r="BA114" i="51"/>
  <c r="BA113" i="51"/>
  <c r="BA102" i="51"/>
  <c r="BA100" i="51"/>
  <c r="BA99" i="51"/>
  <c r="I53" i="51"/>
  <c r="I52" i="51"/>
  <c r="H52" i="51"/>
  <c r="G52" i="51"/>
  <c r="I51" i="51"/>
  <c r="H51" i="51"/>
  <c r="G51" i="51"/>
  <c r="E32" i="51" s="1"/>
  <c r="I50" i="51"/>
  <c r="I49" i="51"/>
  <c r="I48" i="51"/>
  <c r="I47" i="51"/>
  <c r="J46" i="51"/>
  <c r="I46" i="51"/>
  <c r="K45" i="51"/>
  <c r="I45" i="51"/>
  <c r="G44" i="51"/>
  <c r="G36" i="51"/>
  <c r="E4" i="62" s="1"/>
  <c r="C4" i="62" s="1"/>
  <c r="D4" i="7" s="1"/>
  <c r="F36" i="51"/>
  <c r="U14" i="63" s="1"/>
  <c r="M14" i="63" s="1"/>
  <c r="E18" i="45" s="1"/>
  <c r="L5" i="51"/>
  <c r="L4" i="51"/>
  <c r="L3" i="51"/>
  <c r="I14" i="50"/>
  <c r="G14" i="50"/>
  <c r="G11" i="50"/>
  <c r="G10" i="50"/>
  <c r="G9" i="50"/>
  <c r="D6" i="50"/>
  <c r="E13" i="49"/>
  <c r="H12" i="49"/>
  <c r="E12" i="49"/>
  <c r="E11" i="49"/>
  <c r="D6" i="49"/>
  <c r="F281" i="48"/>
  <c r="M218" i="48"/>
  <c r="F217" i="48"/>
  <c r="F153" i="48"/>
  <c r="M90" i="48"/>
  <c r="M24" i="48"/>
  <c r="F23" i="48"/>
  <c r="G17" i="48"/>
  <c r="F17" i="48"/>
  <c r="G16" i="48"/>
  <c r="F16" i="48"/>
  <c r="E14" i="48"/>
  <c r="N7" i="48"/>
  <c r="N4" i="48"/>
  <c r="N1" i="48"/>
  <c r="E42" i="47"/>
  <c r="E35" i="47"/>
  <c r="E31" i="47"/>
  <c r="E28" i="47"/>
  <c r="E24" i="47"/>
  <c r="D15" i="47"/>
  <c r="E16" i="46"/>
  <c r="G14" i="46"/>
  <c r="E13" i="46"/>
  <c r="D6" i="46"/>
  <c r="F21" i="45"/>
  <c r="H19" i="45"/>
  <c r="G19" i="45"/>
  <c r="F19" i="45"/>
  <c r="E17" i="45"/>
  <c r="E16" i="45"/>
  <c r="E15" i="45"/>
  <c r="H14" i="45"/>
  <c r="G14" i="45"/>
  <c r="G11" i="45"/>
  <c r="G10" i="45"/>
  <c r="G9" i="45"/>
  <c r="D6" i="45"/>
  <c r="F2" i="45"/>
  <c r="F6" i="44"/>
  <c r="H57" i="43"/>
  <c r="H56" i="43"/>
  <c r="H55" i="43"/>
  <c r="I54" i="43"/>
  <c r="H54" i="43"/>
  <c r="H53" i="43"/>
  <c r="H52" i="43"/>
  <c r="H51" i="43"/>
  <c r="H50" i="43"/>
  <c r="I49" i="43"/>
  <c r="H49" i="43" s="1"/>
  <c r="I48" i="43"/>
  <c r="H48" i="43" s="1"/>
  <c r="H47" i="43"/>
  <c r="H46" i="43"/>
  <c r="H45" i="43"/>
  <c r="I44" i="43"/>
  <c r="H43" i="43"/>
  <c r="H42" i="43"/>
  <c r="H41" i="43"/>
  <c r="H40" i="43"/>
  <c r="I39" i="43"/>
  <c r="H39" i="43" s="1"/>
  <c r="H35" i="43"/>
  <c r="H34" i="43"/>
  <c r="H33" i="43"/>
  <c r="I32" i="43"/>
  <c r="H32" i="43" s="1"/>
  <c r="H31" i="43"/>
  <c r="H30" i="43"/>
  <c r="H29" i="43"/>
  <c r="I28" i="43"/>
  <c r="H28" i="43" s="1"/>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E130" i="33"/>
  <c r="F127" i="33"/>
  <c r="F123" i="33"/>
  <c r="F117" i="33"/>
  <c r="F115" i="33"/>
  <c r="J114" i="33"/>
  <c r="E114" i="33"/>
  <c r="F113" i="33"/>
  <c r="F111" i="33"/>
  <c r="E110" i="33"/>
  <c r="F109" i="33"/>
  <c r="F107" i="33"/>
  <c r="J106" i="33"/>
  <c r="F106" i="33"/>
  <c r="F105" i="33"/>
  <c r="F103" i="33"/>
  <c r="J102" i="33"/>
  <c r="F102" i="33"/>
  <c r="E102" i="33"/>
  <c r="F99" i="33"/>
  <c r="F97" i="33"/>
  <c r="E96" i="33"/>
  <c r="F95" i="33"/>
  <c r="E93" i="33"/>
  <c r="E92" i="33"/>
  <c r="F91" i="33"/>
  <c r="F88" i="33"/>
  <c r="E88" i="33"/>
  <c r="I87" i="33"/>
  <c r="H87" i="33"/>
  <c r="J84" i="33"/>
  <c r="F84" i="33"/>
  <c r="E84" i="33"/>
  <c r="J80" i="33"/>
  <c r="F80" i="33"/>
  <c r="E80" i="33"/>
  <c r="E79" i="33"/>
  <c r="F77" i="33"/>
  <c r="J76" i="33"/>
  <c r="F76" i="33"/>
  <c r="E76" i="33"/>
  <c r="J75" i="33"/>
  <c r="F75" i="33"/>
  <c r="J73" i="33"/>
  <c r="E73" i="33"/>
  <c r="E72" i="33"/>
  <c r="I69" i="33"/>
  <c r="H69" i="33"/>
  <c r="J68" i="33"/>
  <c r="L68" i="33" s="1"/>
  <c r="F68" i="33"/>
  <c r="F67" i="33"/>
  <c r="F66" i="33"/>
  <c r="E66" i="33"/>
  <c r="K66" i="33" s="1"/>
  <c r="J65" i="33"/>
  <c r="E65" i="33"/>
  <c r="K65" i="33" s="1"/>
  <c r="F63" i="33"/>
  <c r="K62" i="33"/>
  <c r="J61" i="33"/>
  <c r="E61" i="33"/>
  <c r="K61" i="33" s="1"/>
  <c r="F60" i="33"/>
  <c r="J59" i="33"/>
  <c r="F58" i="33"/>
  <c r="K56" i="33"/>
  <c r="J56" i="33"/>
  <c r="J55" i="33"/>
  <c r="F54" i="33"/>
  <c r="K53" i="33"/>
  <c r="J53" i="33"/>
  <c r="E52" i="33"/>
  <c r="K52" i="33" s="1"/>
  <c r="F51" i="33"/>
  <c r="J50" i="33"/>
  <c r="F50" i="33"/>
  <c r="K48" i="33"/>
  <c r="J48" i="33"/>
  <c r="F48" i="33"/>
  <c r="E48" i="33"/>
  <c r="J47" i="33"/>
  <c r="F45" i="33"/>
  <c r="K44" i="33"/>
  <c r="E43" i="33"/>
  <c r="K43" i="33" s="1"/>
  <c r="K41" i="33"/>
  <c r="J41" i="33"/>
  <c r="E41" i="33"/>
  <c r="K40" i="33"/>
  <c r="K39" i="33"/>
  <c r="K38" i="33"/>
  <c r="K37" i="33"/>
  <c r="K36" i="33"/>
  <c r="K35" i="33"/>
  <c r="K34" i="33"/>
  <c r="B34" i="33"/>
  <c r="K33" i="33"/>
  <c r="J33" i="33"/>
  <c r="I33" i="33"/>
  <c r="H33" i="33"/>
  <c r="F31"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S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C42" i="28"/>
  <c r="S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BI53" i="22"/>
  <c r="BI52" i="22"/>
  <c r="BI51" i="22"/>
  <c r="BI50" i="22"/>
  <c r="BI49" i="22"/>
  <c r="BI48" i="22"/>
  <c r="BI47" i="22"/>
  <c r="AZ47" i="22"/>
  <c r="AS47" i="22"/>
  <c r="AL47" i="22"/>
  <c r="AE47" i="22"/>
  <c r="X47" i="22"/>
  <c r="BI46" i="22"/>
  <c r="BF46" i="22"/>
  <c r="BI45" i="22"/>
  <c r="BI44" i="22"/>
  <c r="BI43" i="22"/>
  <c r="BI42" i="22"/>
  <c r="BI41" i="22"/>
  <c r="BF41" i="22"/>
  <c r="U40" i="22"/>
  <c r="V40" i="22" s="1"/>
  <c r="W40" i="22" s="1"/>
  <c r="X40" i="22" s="1"/>
  <c r="Y40" i="22" s="1"/>
  <c r="Z40" i="22" s="1"/>
  <c r="AB40" i="22" s="1"/>
  <c r="AC40" i="22" s="1"/>
  <c r="AD40" i="22" s="1"/>
  <c r="AE40" i="22" s="1"/>
  <c r="AF40" i="22" s="1"/>
  <c r="AG40" i="22" s="1"/>
  <c r="AI40" i="22" s="1"/>
  <c r="AJ40" i="22" s="1"/>
  <c r="AK40" i="22" s="1"/>
  <c r="AL40" i="22" s="1"/>
  <c r="AM40" i="22" s="1"/>
  <c r="AN40" i="22" s="1"/>
  <c r="AP40" i="22" s="1"/>
  <c r="AQ40" i="22" s="1"/>
  <c r="AR40" i="22" s="1"/>
  <c r="AS40" i="22" s="1"/>
  <c r="AT40" i="22" s="1"/>
  <c r="AU40" i="22" s="1"/>
  <c r="AW40" i="22" s="1"/>
  <c r="AX40" i="22" s="1"/>
  <c r="AY40" i="22" s="1"/>
  <c r="AZ40" i="22" s="1"/>
  <c r="BA40" i="22" s="1"/>
  <c r="BB40" i="22" s="1"/>
  <c r="BD40" i="22" s="1"/>
  <c r="BE40" i="22" s="1"/>
  <c r="BF40" i="22" s="1"/>
  <c r="AX33" i="22"/>
  <c r="AQ33" i="22"/>
  <c r="AJ33" i="22"/>
  <c r="AC33" i="22"/>
  <c r="V33" i="22"/>
  <c r="AX32" i="22"/>
  <c r="AQ32" i="22"/>
  <c r="AJ32" i="22"/>
  <c r="AC32" i="22"/>
  <c r="V32" i="22"/>
  <c r="AX30" i="22"/>
  <c r="AQ30" i="22"/>
  <c r="AJ30" i="22"/>
  <c r="AC30" i="22"/>
  <c r="V30" i="22"/>
  <c r="AX29" i="22"/>
  <c r="AQ29" i="22"/>
  <c r="AJ29" i="22"/>
  <c r="AC29" i="22"/>
  <c r="V29" i="22"/>
  <c r="AX28" i="22"/>
  <c r="AQ28" i="22"/>
  <c r="AJ28" i="22"/>
  <c r="AC28" i="22"/>
  <c r="V28" i="22"/>
  <c r="AX27" i="22"/>
  <c r="AQ27" i="22"/>
  <c r="AJ27" i="22"/>
  <c r="AC27" i="22"/>
  <c r="V27" i="22"/>
  <c r="S25" i="22"/>
  <c r="S24" i="22"/>
  <c r="AE16" i="22"/>
  <c r="BI13" i="22"/>
  <c r="BI12" i="22"/>
  <c r="BI11" i="22"/>
  <c r="BI10" i="22"/>
  <c r="BI9" i="22"/>
  <c r="BI8" i="22"/>
  <c r="AZ8" i="22"/>
  <c r="AS8" i="22"/>
  <c r="AL8" i="22"/>
  <c r="AE8" i="22"/>
  <c r="X8" i="22"/>
  <c r="BI7" i="22"/>
  <c r="BF7" i="22"/>
  <c r="BI6" i="22"/>
  <c r="BI5" i="22"/>
  <c r="BI4" i="22"/>
  <c r="AC4" i="22"/>
  <c r="S4" i="22"/>
  <c r="I5" i="22" s="1"/>
  <c r="BI3" i="22"/>
  <c r="AC3" i="22"/>
  <c r="S3" i="22"/>
  <c r="BI2" i="22"/>
  <c r="BF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D46" i="17"/>
  <c r="S46" i="17"/>
  <c r="J48" i="17" s="1"/>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4" i="7" s="1"/>
  <c r="A33" i="7"/>
  <c r="G29" i="7"/>
  <c r="G28" i="7"/>
  <c r="G27" i="7"/>
  <c r="D23" i="7"/>
  <c r="D22" i="7"/>
  <c r="D21" i="7"/>
  <c r="D20" i="7"/>
  <c r="D19" i="7"/>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D46" i="29" s="1"/>
  <c r="AI131" i="5"/>
  <c r="AH131" i="5"/>
  <c r="F150" i="48" s="1"/>
  <c r="AQ126" i="5"/>
  <c r="AP126" i="5"/>
  <c r="S43" i="28" s="1"/>
  <c r="I44" i="28" s="1"/>
  <c r="AO126" i="5"/>
  <c r="AN126" i="5"/>
  <c r="S41" i="28" s="1"/>
  <c r="AM126" i="5"/>
  <c r="AL126" i="5"/>
  <c r="AC43" i="28" s="1"/>
  <c r="AK126" i="5"/>
  <c r="AJ126" i="5"/>
  <c r="AI126" i="5"/>
  <c r="AH126" i="5"/>
  <c r="F147" i="48" s="1"/>
  <c r="AQ121" i="5"/>
  <c r="AP121" i="5"/>
  <c r="S43" i="27" s="1"/>
  <c r="I44" i="27" s="1"/>
  <c r="AO121" i="5"/>
  <c r="S42" i="27" s="1"/>
  <c r="AN121" i="5"/>
  <c r="S41" i="27" s="1"/>
  <c r="AM121" i="5"/>
  <c r="AL121" i="5"/>
  <c r="AC43" i="27" s="1"/>
  <c r="AK121" i="5"/>
  <c r="AC42" i="27" s="1"/>
  <c r="AJ121" i="5"/>
  <c r="AI121" i="5"/>
  <c r="AH121" i="5"/>
  <c r="F78" i="48" s="1"/>
  <c r="AQ115" i="5"/>
  <c r="AP115" i="5"/>
  <c r="S48" i="32" s="1"/>
  <c r="K52" i="32" s="1"/>
  <c r="S52" i="32" s="1"/>
  <c r="AO115" i="5"/>
  <c r="AN115" i="5"/>
  <c r="S46" i="32" s="1"/>
  <c r="AM115" i="5"/>
  <c r="AL115" i="5"/>
  <c r="AD48" i="32" s="1"/>
  <c r="AK115" i="5"/>
  <c r="AD47" i="32" s="1"/>
  <c r="AJ115" i="5"/>
  <c r="AI115" i="5"/>
  <c r="AH115" i="5"/>
  <c r="F205" i="48" s="1"/>
  <c r="AQ110" i="5"/>
  <c r="AP110" i="5"/>
  <c r="S44" i="31" s="1"/>
  <c r="I45" i="31" s="1"/>
  <c r="AO110" i="5"/>
  <c r="S43" i="31" s="1"/>
  <c r="AN110" i="5"/>
  <c r="S42" i="31" s="1"/>
  <c r="AM110" i="5"/>
  <c r="AL110" i="5"/>
  <c r="AG44" i="31" s="1"/>
  <c r="AK110" i="5"/>
  <c r="AG43" i="31" s="1"/>
  <c r="AJ110" i="5"/>
  <c r="AG42" i="31" s="1"/>
  <c r="AI110" i="5"/>
  <c r="AH110" i="5"/>
  <c r="F72" i="48" s="1"/>
  <c r="AQ105" i="5"/>
  <c r="AP105" i="5"/>
  <c r="S44" i="30" s="1"/>
  <c r="I45" i="30" s="1"/>
  <c r="AO105" i="5"/>
  <c r="S43" i="30" s="1"/>
  <c r="AN105" i="5"/>
  <c r="S42" i="30" s="1"/>
  <c r="AM105" i="5"/>
  <c r="AL105" i="5"/>
  <c r="AG44" i="30" s="1"/>
  <c r="AK105" i="5"/>
  <c r="AG43" i="30" s="1"/>
  <c r="AJ105" i="5"/>
  <c r="AG42" i="30" s="1"/>
  <c r="AI105" i="5"/>
  <c r="AH105" i="5"/>
  <c r="F135" i="48" s="1"/>
  <c r="AQ99" i="5"/>
  <c r="AP99" i="5"/>
  <c r="S48" i="26" s="1"/>
  <c r="K52" i="26" s="1"/>
  <c r="S52" i="26" s="1"/>
  <c r="AO99" i="5"/>
  <c r="S47" i="26" s="1"/>
  <c r="AN99" i="5"/>
  <c r="S46" i="26" s="1"/>
  <c r="AM99" i="5"/>
  <c r="AL99" i="5"/>
  <c r="AD48" i="26" s="1"/>
  <c r="AK99" i="5"/>
  <c r="AD47" i="26" s="1"/>
  <c r="AJ99" i="5"/>
  <c r="AI99" i="5"/>
  <c r="AH99" i="5"/>
  <c r="F132" i="48" s="1"/>
  <c r="AQ94" i="5"/>
  <c r="AP94" i="5"/>
  <c r="S43" i="24" s="1"/>
  <c r="I44" i="24" s="1"/>
  <c r="AO94" i="5"/>
  <c r="S42" i="24" s="1"/>
  <c r="AN94" i="5"/>
  <c r="S41" i="24" s="1"/>
  <c r="AM94" i="5"/>
  <c r="AL94" i="5"/>
  <c r="AC43" i="24" s="1"/>
  <c r="AK94" i="5"/>
  <c r="AC42" i="24" s="1"/>
  <c r="AJ94" i="5"/>
  <c r="AC41" i="24" s="1"/>
  <c r="AI94" i="5"/>
  <c r="AH94" i="5"/>
  <c r="AQ89" i="5"/>
  <c r="AP89" i="5"/>
  <c r="S43" i="23" s="1"/>
  <c r="I44" i="23" s="1"/>
  <c r="AO89" i="5"/>
  <c r="S42" i="23" s="1"/>
  <c r="AN89" i="5"/>
  <c r="S41" i="23" s="1"/>
  <c r="AM89" i="5"/>
  <c r="AL89" i="5"/>
  <c r="AC43" i="23" s="1"/>
  <c r="AK89" i="5"/>
  <c r="AC42" i="23" s="1"/>
  <c r="AJ89" i="5"/>
  <c r="AI89" i="5"/>
  <c r="AH89" i="5"/>
  <c r="F60" i="48" s="1"/>
  <c r="AQ84" i="5"/>
  <c r="AP84" i="5"/>
  <c r="S43" i="22" s="1"/>
  <c r="I44" i="22" s="1"/>
  <c r="AO84" i="5"/>
  <c r="S42" i="22" s="1"/>
  <c r="AN84" i="5"/>
  <c r="S41" i="22" s="1"/>
  <c r="AM84" i="5"/>
  <c r="AL84" i="5"/>
  <c r="AC43" i="22" s="1"/>
  <c r="AJ84" i="5"/>
  <c r="AH84" i="5"/>
  <c r="F184" i="48" s="1"/>
  <c r="G84" i="5"/>
  <c r="AI84" i="5" s="1"/>
  <c r="AQ79" i="5"/>
  <c r="AP79" i="5"/>
  <c r="S43" i="21" s="1"/>
  <c r="I44" i="21" s="1"/>
  <c r="AO79" i="5"/>
  <c r="S42" i="21" s="1"/>
  <c r="AN79" i="5"/>
  <c r="S41" i="21" s="1"/>
  <c r="AM79" i="5"/>
  <c r="AL79" i="5"/>
  <c r="AC43" i="21" s="1"/>
  <c r="AK79" i="5"/>
  <c r="AC42" i="21" s="1"/>
  <c r="AJ79" i="5"/>
  <c r="AC41" i="21" s="1"/>
  <c r="AI79" i="5"/>
  <c r="AH79" i="5"/>
  <c r="F51" i="48" s="1"/>
  <c r="AQ63" i="5"/>
  <c r="S46" i="13" s="1"/>
  <c r="I47" i="13" s="1"/>
  <c r="AP63" i="5"/>
  <c r="S45" i="13" s="1"/>
  <c r="AO63" i="5"/>
  <c r="S44" i="13" s="1"/>
  <c r="AN63" i="5"/>
  <c r="S43" i="14"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C42" i="25" s="1"/>
  <c r="AI58" i="5"/>
  <c r="AH58" i="5"/>
  <c r="F114" i="48" s="1"/>
  <c r="AQ53" i="5"/>
  <c r="S48" i="20" s="1"/>
  <c r="AP53" i="5"/>
  <c r="S47" i="20" s="1"/>
  <c r="AO53" i="5"/>
  <c r="S46" i="20" s="1"/>
  <c r="AN53" i="5"/>
  <c r="S45" i="20" s="1"/>
  <c r="AM53" i="5"/>
  <c r="AB48" i="20" s="1"/>
  <c r="AL53" i="5"/>
  <c r="AB47" i="20" s="1"/>
  <c r="AK53" i="5"/>
  <c r="AB46" i="20" s="1"/>
  <c r="AJ53" i="5"/>
  <c r="AI53" i="5"/>
  <c r="AH53" i="5"/>
  <c r="F239" i="48" s="1"/>
  <c r="AQ48" i="5"/>
  <c r="S46" i="15" s="1"/>
  <c r="I47" i="15" s="1"/>
  <c r="AP48" i="5"/>
  <c r="S45" i="15" s="1"/>
  <c r="AO48" i="5"/>
  <c r="S44" i="15" s="1"/>
  <c r="AN48" i="5"/>
  <c r="S43" i="15" s="1"/>
  <c r="AM48" i="5"/>
  <c r="AD46" i="15" s="1"/>
  <c r="AL48" i="5"/>
  <c r="AD45" i="15" s="1"/>
  <c r="AK48" i="5"/>
  <c r="AD44" i="15" s="1"/>
  <c r="AJ48" i="5"/>
  <c r="AI48" i="5"/>
  <c r="AH48" i="5"/>
  <c r="F236" i="48" s="1"/>
  <c r="AQ43" i="5"/>
  <c r="S46" i="18" s="1"/>
  <c r="AP43" i="5"/>
  <c r="S45" i="18" s="1"/>
  <c r="AO43" i="5"/>
  <c r="AN43" i="5"/>
  <c r="S43" i="18" s="1"/>
  <c r="AM43" i="5"/>
  <c r="AD46" i="18" s="1"/>
  <c r="AL43" i="5"/>
  <c r="AD45" i="18" s="1"/>
  <c r="AK43" i="5"/>
  <c r="AD44" i="18" s="1"/>
  <c r="AJ43" i="5"/>
  <c r="AI43" i="5"/>
  <c r="AH43" i="5"/>
  <c r="AQ38" i="5"/>
  <c r="AP38" i="5"/>
  <c r="S45" i="17" s="1"/>
  <c r="AO38" i="5"/>
  <c r="S44" i="17" s="1"/>
  <c r="AN38" i="5"/>
  <c r="S43" i="17" s="1"/>
  <c r="AM38" i="5"/>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F291" i="48" s="1"/>
  <c r="AQ28" i="5"/>
  <c r="L22" i="64" s="1"/>
  <c r="F23" i="64" s="1"/>
  <c r="AP28" i="5"/>
  <c r="L21" i="64" s="1"/>
  <c r="AO28" i="5"/>
  <c r="L20" i="64" s="1"/>
  <c r="AN28" i="5"/>
  <c r="L19" i="64" s="1"/>
  <c r="AM28" i="5"/>
  <c r="O22" i="64" s="1"/>
  <c r="AL28" i="5"/>
  <c r="O21" i="64" s="1"/>
  <c r="AK28" i="5"/>
  <c r="O20" i="64" s="1"/>
  <c r="AJ28" i="5"/>
  <c r="G30" i="48" s="1"/>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AD43" i="12" s="1"/>
  <c r="AI18" i="5"/>
  <c r="AH18" i="5"/>
  <c r="F221" i="48" s="1"/>
  <c r="AQ13" i="5"/>
  <c r="S46" i="11" s="1"/>
  <c r="I47" i="11" s="1"/>
  <c r="AP13" i="5"/>
  <c r="S45" i="11" s="1"/>
  <c r="AO13" i="5"/>
  <c r="S44" i="11" s="1"/>
  <c r="AN13" i="5"/>
  <c r="S43" i="11" s="1"/>
  <c r="AM13" i="5"/>
  <c r="AD46" i="11" s="1"/>
  <c r="AL13" i="5"/>
  <c r="AK13" i="5"/>
  <c r="AD44" i="11" s="1"/>
  <c r="AJ13" i="5"/>
  <c r="AI13" i="5"/>
  <c r="AH13" i="5"/>
  <c r="D6" i="5"/>
  <c r="D5" i="5"/>
  <c r="R13" i="4"/>
  <c r="P13" i="4"/>
  <c r="I10" i="37" s="1"/>
  <c r="I13" i="4"/>
  <c r="Q13" i="4" s="1"/>
  <c r="E7" i="4"/>
  <c r="D5" i="4"/>
  <c r="O13" i="3"/>
  <c r="M13" i="3" a="1"/>
  <c r="M13" i="3"/>
  <c r="E13" i="3"/>
  <c r="G12" i="3"/>
  <c r="N84" i="5" s="1"/>
  <c r="AK84" i="5" s="1"/>
  <c r="AC42" i="22" s="1"/>
  <c r="E12" i="3"/>
  <c r="E4" i="3"/>
  <c r="E59" i="2"/>
  <c r="E49" i="2"/>
  <c r="E41" i="2"/>
  <c r="E31" i="2"/>
  <c r="E27" i="2"/>
  <c r="E26" i="2"/>
  <c r="F25" i="2"/>
  <c r="E22" i="2"/>
  <c r="E21" i="2"/>
  <c r="F20" i="2"/>
  <c r="E19" i="2"/>
  <c r="I9" i="2"/>
  <c r="E3" i="2"/>
  <c r="E2" i="2"/>
  <c r="AN8" i="12"/>
  <c r="M2" i="55"/>
  <c r="J13" i="3"/>
  <c r="AR8" i="19"/>
  <c r="AL46" i="24"/>
  <c r="AT7" i="30"/>
  <c r="AL46" i="21"/>
  <c r="AN49" i="18"/>
  <c r="AN8" i="17"/>
  <c r="M10" i="55"/>
  <c r="BG7" i="22"/>
  <c r="AV8" i="20"/>
  <c r="AL46" i="28"/>
  <c r="M2" i="54"/>
  <c r="AN49" i="15"/>
  <c r="Y25" i="64"/>
  <c r="AT47" i="30"/>
  <c r="BG46" i="22"/>
  <c r="AL46" i="23"/>
  <c r="AN49" i="14"/>
  <c r="AN8" i="16"/>
  <c r="AN49" i="11"/>
  <c r="AL7" i="27"/>
  <c r="AR56" i="19"/>
  <c r="AN8" i="18"/>
  <c r="AT7" i="31"/>
  <c r="AL7" i="24"/>
  <c r="AL8" i="25"/>
  <c r="AN49" i="12"/>
  <c r="M10" i="54"/>
  <c r="AL46" i="27"/>
  <c r="AN8" i="13"/>
  <c r="AL7" i="28"/>
  <c r="AL7" i="23"/>
  <c r="AL7" i="21"/>
  <c r="AN8" i="11"/>
  <c r="AR55" i="19"/>
  <c r="AV51" i="20"/>
  <c r="AN8" i="14"/>
  <c r="AN49" i="17"/>
  <c r="AT47" i="31"/>
  <c r="AN8" i="15"/>
  <c r="AN49" i="16"/>
  <c r="AN49" i="13"/>
  <c r="AL48" i="25"/>
  <c r="J51" i="51" l="1"/>
  <c r="J45" i="51" s="1"/>
  <c r="E5" i="2" s="1"/>
  <c r="AA12" i="63"/>
  <c r="N12" i="63" s="1"/>
  <c r="I16" i="45" s="1"/>
  <c r="AD46" i="13"/>
  <c r="E38" i="47"/>
  <c r="F278" i="48"/>
  <c r="E3" i="62"/>
  <c r="C3" i="62" s="1"/>
  <c r="D5" i="45" s="1"/>
  <c r="F54" i="48"/>
  <c r="F87" i="48"/>
  <c r="M282" i="48"/>
  <c r="AA16" i="63"/>
  <c r="N16" i="63" s="1"/>
  <c r="I21" i="45" s="1"/>
  <c r="I25" i="33"/>
  <c r="J47" i="51"/>
  <c r="J52" i="51"/>
  <c r="S45" i="16"/>
  <c r="G17" i="46"/>
  <c r="F111" i="48"/>
  <c r="E10" i="49"/>
  <c r="E5" i="54"/>
  <c r="E30" i="62"/>
  <c r="C30" i="62" s="1"/>
  <c r="D14" i="47" s="1"/>
  <c r="D35" i="7"/>
  <c r="L10" i="54"/>
  <c r="R10" i="54" s="1"/>
  <c r="J49" i="51"/>
  <c r="E32" i="62"/>
  <c r="C32" i="62" s="1"/>
  <c r="F5" i="43" s="1"/>
  <c r="E25" i="47"/>
  <c r="M154" i="48"/>
  <c r="I36" i="43"/>
  <c r="H36" i="43" s="1"/>
  <c r="F202" i="48"/>
  <c r="E32" i="47"/>
  <c r="F2" i="55"/>
  <c r="L6" i="51"/>
  <c r="J6" i="31"/>
  <c r="S5" i="31"/>
  <c r="K8" i="17"/>
  <c r="S8" i="17" s="1"/>
  <c r="S7" i="17"/>
  <c r="J50" i="20"/>
  <c r="I49" i="20"/>
  <c r="K51" i="20"/>
  <c r="S51" i="20" s="1"/>
  <c r="M11" i="35"/>
  <c r="I8" i="39"/>
  <c r="H15" i="34"/>
  <c r="I11" i="38"/>
  <c r="I11" i="37"/>
  <c r="H10" i="45"/>
  <c r="I10" i="50"/>
  <c r="I27" i="40"/>
  <c r="I26" i="33"/>
  <c r="S47" i="15"/>
  <c r="J48" i="15"/>
  <c r="J45" i="22"/>
  <c r="S44" i="22"/>
  <c r="K49" i="17"/>
  <c r="S49" i="17" s="1"/>
  <c r="S48" i="17"/>
  <c r="J6" i="22"/>
  <c r="S5" i="22"/>
  <c r="S7" i="18"/>
  <c r="K8" i="18"/>
  <c r="S8" i="18" s="1"/>
  <c r="J48" i="11"/>
  <c r="S47" i="11"/>
  <c r="I47" i="18"/>
  <c r="J48" i="18"/>
  <c r="S45" i="31"/>
  <c r="J46" i="31"/>
  <c r="S7" i="15"/>
  <c r="K8" i="15"/>
  <c r="S8" i="15" s="1"/>
  <c r="K8" i="16"/>
  <c r="S8" i="16" s="1"/>
  <c r="S7" i="16"/>
  <c r="S44" i="21"/>
  <c r="J45" i="21"/>
  <c r="J48" i="12"/>
  <c r="S47" i="12"/>
  <c r="S45" i="30"/>
  <c r="J46" i="30"/>
  <c r="K8" i="12"/>
  <c r="S8" i="12" s="1"/>
  <c r="S7" i="12"/>
  <c r="K8" i="19"/>
  <c r="U7" i="19"/>
  <c r="J7" i="11"/>
  <c r="S6" i="11"/>
  <c r="K7" i="21"/>
  <c r="S7" i="21" s="1"/>
  <c r="S6" i="21"/>
  <c r="K7" i="27"/>
  <c r="S7" i="27" s="1"/>
  <c r="S6" i="27"/>
  <c r="U54" i="19"/>
  <c r="K55" i="19"/>
  <c r="J48" i="13"/>
  <c r="S47" i="13"/>
  <c r="S5" i="24"/>
  <c r="J6" i="24"/>
  <c r="J45" i="27"/>
  <c r="S44" i="27"/>
  <c r="K8" i="13"/>
  <c r="S8" i="13" s="1"/>
  <c r="S7" i="13"/>
  <c r="J45" i="23"/>
  <c r="S44" i="23"/>
  <c r="S6" i="30"/>
  <c r="K7" i="30"/>
  <c r="S7" i="30" s="1"/>
  <c r="J6" i="28"/>
  <c r="S5" i="28"/>
  <c r="K48" i="25"/>
  <c r="S48" i="25" s="1"/>
  <c r="J47" i="25"/>
  <c r="I46" i="25"/>
  <c r="S44" i="24"/>
  <c r="J45" i="24"/>
  <c r="J45" i="28"/>
  <c r="S44" i="28"/>
  <c r="S6" i="14"/>
  <c r="J7" i="14"/>
  <c r="J6" i="23"/>
  <c r="S5" i="23"/>
  <c r="F321" i="48"/>
  <c r="F193" i="48"/>
  <c r="F63" i="48"/>
  <c r="S43" i="13"/>
  <c r="AD45" i="16"/>
  <c r="S5" i="21"/>
  <c r="F129" i="48"/>
  <c r="H53" i="51"/>
  <c r="H50" i="51"/>
  <c r="G47" i="51"/>
  <c r="G53" i="51"/>
  <c r="G50" i="51"/>
  <c r="H46" i="51"/>
  <c r="H49" i="51"/>
  <c r="G46" i="51"/>
  <c r="G49" i="51"/>
  <c r="H48" i="51"/>
  <c r="H47" i="51"/>
  <c r="S6" i="13"/>
  <c r="F297" i="48"/>
  <c r="F169" i="48"/>
  <c r="F233" i="48"/>
  <c r="F105" i="48"/>
  <c r="D36" i="7"/>
  <c r="S6" i="12"/>
  <c r="S44" i="14"/>
  <c r="I47" i="17"/>
  <c r="S5" i="27"/>
  <c r="G2" i="48"/>
  <c r="G282" i="48"/>
  <c r="G154" i="48"/>
  <c r="G24" i="48"/>
  <c r="G5" i="48"/>
  <c r="F230" i="48"/>
  <c r="F102" i="48"/>
  <c r="G297" i="48"/>
  <c r="G169" i="48"/>
  <c r="G39" i="48"/>
  <c r="G233" i="48"/>
  <c r="G105" i="48"/>
  <c r="F245" i="48"/>
  <c r="F117" i="48"/>
  <c r="F248" i="48"/>
  <c r="F120" i="48"/>
  <c r="G318" i="48"/>
  <c r="G190" i="48"/>
  <c r="G60" i="48"/>
  <c r="G254" i="48"/>
  <c r="G126" i="48"/>
  <c r="F269" i="48"/>
  <c r="F141" i="48"/>
  <c r="G336" i="48"/>
  <c r="G208" i="48"/>
  <c r="G78" i="48"/>
  <c r="G272" i="48"/>
  <c r="G144" i="48"/>
  <c r="AD44" i="14"/>
  <c r="S46" i="16"/>
  <c r="AC41" i="27"/>
  <c r="I10" i="38"/>
  <c r="F75" i="48"/>
  <c r="G218" i="48"/>
  <c r="F294" i="48"/>
  <c r="F29" i="51"/>
  <c r="F32" i="51"/>
  <c r="F5" i="41"/>
  <c r="F5" i="42"/>
  <c r="F5" i="44"/>
  <c r="G321" i="48"/>
  <c r="G193" i="48"/>
  <c r="G63" i="48"/>
  <c r="G257" i="48"/>
  <c r="G129" i="48"/>
  <c r="G24" i="64"/>
  <c r="L23" i="64"/>
  <c r="AD46" i="16"/>
  <c r="I6" i="25"/>
  <c r="F309" i="48"/>
  <c r="G260" i="48"/>
  <c r="G132" i="48"/>
  <c r="G324" i="48"/>
  <c r="G196" i="48"/>
  <c r="G66" i="48"/>
  <c r="G339" i="48"/>
  <c r="G211" i="48"/>
  <c r="G81" i="48"/>
  <c r="G275" i="48"/>
  <c r="G147" i="48"/>
  <c r="F227" i="48"/>
  <c r="F99" i="48"/>
  <c r="G294" i="48"/>
  <c r="G166" i="48"/>
  <c r="G36" i="48"/>
  <c r="G230" i="48"/>
  <c r="G102" i="48"/>
  <c r="G245" i="48"/>
  <c r="G117" i="48"/>
  <c r="G309" i="48"/>
  <c r="G181" i="48"/>
  <c r="G51" i="48"/>
  <c r="G312" i="48"/>
  <c r="G184" i="48"/>
  <c r="G54" i="48"/>
  <c r="G248" i="48"/>
  <c r="G120" i="48"/>
  <c r="F266" i="48"/>
  <c r="F138" i="48"/>
  <c r="G333" i="48"/>
  <c r="G205" i="48"/>
  <c r="G75" i="48"/>
  <c r="AD46" i="32"/>
  <c r="G269" i="48"/>
  <c r="G141" i="48"/>
  <c r="D37" i="7"/>
  <c r="D38" i="7" s="1"/>
  <c r="D39" i="7" s="1"/>
  <c r="AD43" i="11"/>
  <c r="S45" i="14"/>
  <c r="S43" i="16"/>
  <c r="F312" i="48"/>
  <c r="K69" i="33"/>
  <c r="I31" i="33" s="1"/>
  <c r="I136" i="33" s="1"/>
  <c r="E70" i="33"/>
  <c r="K70" i="33" s="1"/>
  <c r="F339" i="48"/>
  <c r="F211" i="48"/>
  <c r="F81" i="48"/>
  <c r="F282" i="48"/>
  <c r="F154" i="48"/>
  <c r="F24" i="48"/>
  <c r="F218" i="48"/>
  <c r="F90" i="48"/>
  <c r="AD45" i="14"/>
  <c r="AD43" i="16"/>
  <c r="AC41" i="23"/>
  <c r="J7" i="25"/>
  <c r="S5" i="30"/>
  <c r="I26" i="40"/>
  <c r="G90" i="48"/>
  <c r="F330" i="48"/>
  <c r="G239" i="48"/>
  <c r="G111" i="48"/>
  <c r="G303" i="48"/>
  <c r="G175" i="48"/>
  <c r="G45" i="48"/>
  <c r="G300" i="48"/>
  <c r="G172" i="48"/>
  <c r="G42" i="48"/>
  <c r="G236" i="48"/>
  <c r="G108" i="48"/>
  <c r="F318" i="48"/>
  <c r="F190" i="48"/>
  <c r="F254" i="48"/>
  <c r="F126" i="48"/>
  <c r="F224" i="48"/>
  <c r="F288" i="48"/>
  <c r="F160" i="48"/>
  <c r="F30" i="48"/>
  <c r="G227" i="48"/>
  <c r="G99" i="48"/>
  <c r="G291" i="48"/>
  <c r="G163" i="48"/>
  <c r="G33" i="48"/>
  <c r="F242" i="48"/>
  <c r="F306" i="48"/>
  <c r="F178" i="48"/>
  <c r="F48" i="48"/>
  <c r="F263" i="48"/>
  <c r="F327" i="48"/>
  <c r="F199" i="48"/>
  <c r="F69" i="48"/>
  <c r="G266" i="48"/>
  <c r="G138" i="48"/>
  <c r="G330" i="48"/>
  <c r="G202" i="48"/>
  <c r="G72" i="48"/>
  <c r="AB45" i="20"/>
  <c r="F333" i="48"/>
  <c r="F285" i="48"/>
  <c r="F157" i="48"/>
  <c r="F27" i="48"/>
  <c r="F336" i="48"/>
  <c r="F208" i="48"/>
  <c r="F272" i="48"/>
  <c r="F144" i="48"/>
  <c r="I9" i="50"/>
  <c r="M10" i="35"/>
  <c r="H14" i="34"/>
  <c r="I7" i="39"/>
  <c r="H9" i="45"/>
  <c r="S46" i="14"/>
  <c r="I47" i="14" s="1"/>
  <c r="S6" i="15"/>
  <c r="AG49" i="19"/>
  <c r="AC41" i="28"/>
  <c r="I38" i="43"/>
  <c r="H44" i="43"/>
  <c r="F33" i="48"/>
  <c r="F93" i="48"/>
  <c r="F163" i="48"/>
  <c r="F257" i="48"/>
  <c r="G224" i="48"/>
  <c r="G96" i="48"/>
  <c r="O19" i="64"/>
  <c r="G288" i="48"/>
  <c r="G160" i="48"/>
  <c r="F303" i="48"/>
  <c r="F175" i="48"/>
  <c r="F45" i="48"/>
  <c r="G242" i="48"/>
  <c r="G114" i="48"/>
  <c r="G306" i="48"/>
  <c r="G178" i="48"/>
  <c r="G48" i="48"/>
  <c r="F324" i="48"/>
  <c r="F196" i="48"/>
  <c r="F66" i="48"/>
  <c r="G263" i="48"/>
  <c r="G135" i="48"/>
  <c r="G327" i="48"/>
  <c r="G199" i="48"/>
  <c r="G69" i="48"/>
  <c r="F342" i="48"/>
  <c r="F214" i="48"/>
  <c r="F84" i="48"/>
  <c r="AD43" i="15"/>
  <c r="S44" i="16"/>
  <c r="AD46" i="26"/>
  <c r="F36" i="48"/>
  <c r="F96" i="48"/>
  <c r="F166" i="48"/>
  <c r="F260" i="48"/>
  <c r="G48" i="51"/>
  <c r="F300" i="48"/>
  <c r="F172" i="48"/>
  <c r="F42" i="48"/>
  <c r="G278" i="48"/>
  <c r="G150" i="48"/>
  <c r="G342" i="48"/>
  <c r="G214" i="48"/>
  <c r="G84" i="48"/>
  <c r="G221" i="48"/>
  <c r="G93" i="48"/>
  <c r="G285" i="48"/>
  <c r="G157" i="48"/>
  <c r="G27" i="48"/>
  <c r="I12" i="38"/>
  <c r="I12" i="37"/>
  <c r="H16" i="34"/>
  <c r="H11" i="45"/>
  <c r="I28" i="40"/>
  <c r="I27" i="33"/>
  <c r="I11" i="50"/>
  <c r="M12" i="35"/>
  <c r="I9" i="39"/>
  <c r="AD44" i="16"/>
  <c r="AD43" i="18"/>
  <c r="AC41" i="22"/>
  <c r="F39" i="48"/>
  <c r="F108" i="48"/>
  <c r="F181" i="48"/>
  <c r="F275" i="48"/>
  <c r="AA11" i="63"/>
  <c r="N11" i="63" s="1"/>
  <c r="I15" i="45" s="1"/>
  <c r="U15" i="63"/>
  <c r="M15" i="63" s="1"/>
  <c r="E19" i="45" s="1"/>
  <c r="J50" i="51"/>
  <c r="E29" i="62"/>
  <c r="C29" i="62" s="1"/>
  <c r="D5" i="49" s="1"/>
  <c r="AA15" i="63"/>
  <c r="N15" i="63" s="1"/>
  <c r="I19" i="45" s="1"/>
  <c r="U148" i="63"/>
  <c r="M148" i="63" s="1"/>
  <c r="E12" i="46" s="1"/>
  <c r="E5" i="62"/>
  <c r="C5" i="62" s="1"/>
  <c r="D5" i="46" s="1"/>
  <c r="AA13" i="63"/>
  <c r="N13" i="63" s="1"/>
  <c r="I17" i="45" s="1"/>
  <c r="F10" i="54"/>
  <c r="D48" i="61"/>
  <c r="E29" i="51"/>
  <c r="F10" i="55"/>
  <c r="D49" i="61"/>
  <c r="E6" i="62"/>
  <c r="C6" i="62" s="1"/>
  <c r="E21" i="33" s="1"/>
  <c r="D50" i="61"/>
  <c r="H31" i="33" l="1"/>
  <c r="H136" i="33" s="1"/>
  <c r="B5" i="1"/>
  <c r="D4" i="4"/>
  <c r="K47" i="31"/>
  <c r="S47" i="31" s="1"/>
  <c r="S46" i="31"/>
  <c r="I58" i="43"/>
  <c r="H58" i="43" s="1"/>
  <c r="H38" i="43"/>
  <c r="S6" i="28"/>
  <c r="K7" i="28"/>
  <c r="S7" i="28" s="1"/>
  <c r="K49" i="13"/>
  <c r="S49" i="13" s="1"/>
  <c r="S48" i="13"/>
  <c r="S45" i="22"/>
  <c r="K46" i="22"/>
  <c r="S46" i="22" s="1"/>
  <c r="K7" i="23"/>
  <c r="S7" i="23" s="1"/>
  <c r="S6" i="23"/>
  <c r="L56" i="19"/>
  <c r="U56" i="19" s="1"/>
  <c r="U55" i="19"/>
  <c r="K47" i="30"/>
  <c r="S47" i="30" s="1"/>
  <c r="S46" i="30"/>
  <c r="K49" i="18"/>
  <c r="S49" i="18" s="1"/>
  <c r="S48" i="18"/>
  <c r="K49" i="15"/>
  <c r="S49" i="15" s="1"/>
  <c r="S48" i="15"/>
  <c r="J48" i="16"/>
  <c r="I47" i="16"/>
  <c r="S7" i="14"/>
  <c r="K8" i="14"/>
  <c r="S8" i="14" s="1"/>
  <c r="S47" i="14"/>
  <c r="J48" i="14"/>
  <c r="K46" i="23"/>
  <c r="S46" i="23" s="1"/>
  <c r="S45" i="23"/>
  <c r="K49" i="12"/>
  <c r="S49" i="12" s="1"/>
  <c r="S48" i="12"/>
  <c r="S48" i="11"/>
  <c r="K49" i="11"/>
  <c r="S49" i="11" s="1"/>
  <c r="S6" i="22"/>
  <c r="K7" i="22"/>
  <c r="S7" i="22" s="1"/>
  <c r="L24" i="64"/>
  <c r="H25" i="64"/>
  <c r="L25" i="64" s="1"/>
  <c r="S45" i="28"/>
  <c r="K46" i="28"/>
  <c r="S46" i="28" s="1"/>
  <c r="K46" i="21"/>
  <c r="S46" i="21" s="1"/>
  <c r="S45" i="21"/>
  <c r="K8" i="11"/>
  <c r="S8" i="11" s="1"/>
  <c r="S7" i="11"/>
  <c r="K7" i="24"/>
  <c r="S7" i="24" s="1"/>
  <c r="S6" i="24"/>
  <c r="D41" i="7"/>
  <c r="D40" i="7"/>
  <c r="D43" i="7"/>
  <c r="D44" i="7" s="1"/>
  <c r="D45" i="7" s="1"/>
  <c r="S45" i="24"/>
  <c r="K46" i="24"/>
  <c r="S46" i="24" s="1"/>
  <c r="K46" i="27"/>
  <c r="S46" i="27" s="1"/>
  <c r="S45" i="27"/>
  <c r="L9" i="19"/>
  <c r="U9" i="19" s="1"/>
  <c r="U8" i="19"/>
  <c r="K7" i="31"/>
  <c r="S7" i="31" s="1"/>
  <c r="S6" i="31"/>
  <c r="D46" i="7" l="1"/>
  <c r="D47" i="7"/>
  <c r="D49" i="7"/>
  <c r="D48" i="7"/>
  <c r="D51" i="7"/>
  <c r="S48" i="16"/>
  <c r="K49" i="16"/>
  <c r="S49" i="16" s="1"/>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<sst xmlns="http://schemas.openxmlformats.org/spreadsheetml/2006/main" count="24432" uniqueCount="5458">
  <si>
    <t xml:space="preserve"> (требуется обновление)</t>
  </si>
  <si>
    <t>Код отчёта: PP108.OPEN.INFO.REQUEST.COLDVSNA.EIAS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</si>
  <si>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</si>
  <si>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</si>
  <si>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</si>
  <si>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</si>
  <si>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</si>
  <si>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</si>
  <si>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</si>
  <si>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</si>
  <si>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</si>
  <si>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</si>
  <si>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</si>
  <si>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26359527</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</si>
  <si>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</si>
  <si>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</si>
  <si>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</si>
  <si>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</si>
  <si>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</si>
  <si>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</si>
  <si>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</si>
  <si>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</si>
  <si>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</si>
  <si>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</si>
  <si>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</si>
  <si>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</si>
  <si>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</si>
  <si>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</si>
  <si>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</si>
  <si>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</si>
  <si>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</si>
  <si>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</si>
  <si>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</si>
  <si>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</si>
  <si>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</si>
  <si>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</si>
  <si>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</si>
  <si>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</si>
  <si>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</si>
  <si>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</si>
  <si>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</si>
  <si>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</si>
  <si>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</si>
  <si>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</si>
  <si>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</si>
  <si>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Общество с ограниченной ответственностью "Березовский рудник"</t>
  </si>
  <si>
    <t>Наименование (описание) обособленного подразделения</t>
  </si>
  <si>
    <t>ИНН</t>
  </si>
  <si>
    <t>6604011599</t>
  </si>
  <si>
    <t>КПП</t>
  </si>
  <si>
    <t>667801001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</si>
  <si>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</si>
  <si>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</si>
  <si>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</si>
  <si>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</si>
  <si>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</si>
  <si>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</si>
  <si>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</si>
  <si>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</si>
  <si>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</si>
  <si>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</si>
  <si>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</si>
  <si>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</si>
  <si>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</si>
  <si>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</si>
  <si>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</si>
  <si>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</si>
  <si>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</si>
  <si>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623700 Свердловская обл., г. Березовский, Березовский тракт, 1</t>
  </si>
  <si>
    <t>Фамилия, имя, отчество руководителя</t>
  </si>
  <si>
    <t>Набиуллин Фарит Минниахметович</t>
  </si>
  <si>
    <t>Ответственный за заполнение формы</t>
  </si>
  <si>
    <t>Фамилия, имя, отчество</t>
  </si>
  <si>
    <t xml:space="preserve"> Бетева Наталья Александровна</t>
  </si>
  <si>
    <t>Должность</t>
  </si>
  <si>
    <t>Начальник ФЭО</t>
  </si>
  <si>
    <t>Контактный телефон</t>
  </si>
  <si>
    <t xml:space="preserve"> (343-69) 4-45-96</t>
  </si>
  <si>
    <t>E-mail</t>
  </si>
  <si>
    <t xml:space="preserve"> info@ooobru.ru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</si>
  <si>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</si>
  <si>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</si>
  <si>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</si>
  <si>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</si>
  <si>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</si>
  <si>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</si>
  <si>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</si>
  <si>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</si>
  <si>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</si>
  <si>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</si>
  <si>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</si>
  <si>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</si>
  <si>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</si>
  <si>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</si>
  <si>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</si>
  <si>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</si>
  <si>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</si>
  <si>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18</t>
  </si>
  <si>
    <t>Березовский городской округ</t>
  </si>
  <si>
    <t>65731000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</si>
  <si>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</si>
  <si>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</si>
  <si>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</si>
  <si>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</si>
  <si>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</si>
  <si>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</si>
  <si>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</si>
  <si>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</si>
  <si>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</si>
  <si>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</si>
  <si>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</si>
  <si>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</si>
  <si>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</si>
  <si>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</si>
  <si>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</si>
  <si>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</si>
  <si>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</si>
  <si>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</si>
  <si>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</si>
  <si>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</si>
  <si>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</si>
  <si>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</si>
  <si>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</si>
  <si>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</si>
  <si>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</si>
  <si>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</si>
  <si>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</si>
  <si>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</si>
  <si>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</si>
  <si>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</si>
  <si>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</si>
  <si>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</si>
  <si>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</si>
  <si>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</si>
  <si>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</si>
  <si>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</si>
  <si>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</si>
  <si>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</si>
  <si>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</si>
  <si>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</si>
  <si>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</si>
  <si>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</si>
  <si>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</si>
  <si>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</si>
  <si>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</si>
  <si>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</si>
  <si>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</si>
  <si>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</si>
  <si>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</si>
  <si>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</si>
  <si>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</si>
  <si>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</si>
  <si>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</si>
  <si>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</si>
  <si>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</si>
  <si>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</si>
  <si>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</si>
  <si>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</si>
  <si>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</si>
  <si>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</si>
  <si>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</si>
  <si>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</si>
  <si>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</si>
  <si>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</si>
  <si>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</si>
  <si>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</si>
  <si>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</si>
  <si>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</si>
  <si>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</si>
  <si>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</si>
  <si>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</si>
  <si>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</si>
  <si>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</si>
  <si>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</si>
  <si>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</si>
  <si>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</si>
  <si>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</si>
  <si>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</si>
  <si>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</si>
  <si>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</si>
  <si>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</si>
  <si>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</si>
  <si>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</si>
  <si>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</si>
  <si>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</si>
  <si>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</si>
  <si>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</si>
  <si>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</si>
  <si>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</si>
  <si>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</si>
  <si>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</si>
  <si>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</si>
  <si>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</si>
  <si>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</si>
  <si>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</si>
  <si>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</si>
  <si>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</si>
  <si>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</si>
  <si>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</si>
  <si>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</si>
  <si>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</si>
  <si>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</si>
  <si>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</si>
  <si>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</si>
  <si>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</si>
  <si>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</si>
  <si>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</si>
  <si>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</si>
  <si>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</si>
  <si>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</si>
  <si>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</si>
  <si>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</si>
  <si>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</si>
  <si>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</si>
  <si>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</si>
  <si>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</si>
  <si>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</si>
  <si>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</si>
  <si>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</si>
  <si>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</si>
  <si>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</si>
  <si>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</si>
  <si>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</si>
  <si>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</si>
  <si>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</si>
  <si>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</si>
  <si>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"4189672"</t>
  </si>
  <si>
    <t>pIns_PT_VTAR_B_COLDVSNA</t>
  </si>
  <si>
    <t>pt_ntar_10</t>
  </si>
  <si>
    <t>pt_ter_10</t>
  </si>
  <si>
    <t>pt_cs_10</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</si>
  <si>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</si>
  <si>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</si>
  <si>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</si>
  <si>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</si>
  <si>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</si>
  <si>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</si>
  <si>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</si>
  <si>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</si>
  <si>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</si>
  <si>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</si>
  <si>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</si>
  <si>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</si>
  <si>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</si>
  <si>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</si>
  <si>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</si>
  <si>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</si>
  <si>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</si>
  <si>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</si>
  <si>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</si>
  <si>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</si>
  <si>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</si>
  <si>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</si>
  <si>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</si>
  <si>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</si>
  <si>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</si>
  <si>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</si>
  <si>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</si>
  <si>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</si>
  <si>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</si>
  <si>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</si>
  <si>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</si>
  <si>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</si>
  <si>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</si>
  <si>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</si>
  <si>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</si>
  <si>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</si>
  <si>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</si>
  <si>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</si>
  <si>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</si>
  <si>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</si>
  <si>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</si>
  <si>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</si>
  <si>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</si>
  <si>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</si>
  <si>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</si>
  <si>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</si>
  <si>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</si>
  <si>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</si>
  <si>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</si>
  <si>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</si>
  <si>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</si>
  <si>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</si>
  <si>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</si>
  <si>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</si>
  <si>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</si>
  <si>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</si>
  <si>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</si>
  <si>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</si>
  <si>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</si>
  <si>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</si>
  <si>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</si>
  <si>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</si>
  <si>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</si>
  <si>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</si>
  <si>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</si>
  <si>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</si>
  <si>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</si>
  <si>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</si>
  <si>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</si>
  <si>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</si>
  <si>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</si>
  <si>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</si>
  <si>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</si>
  <si>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</si>
  <si>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</si>
  <si>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</si>
  <si>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</si>
  <si>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</si>
  <si>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</si>
  <si>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</si>
  <si>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</si>
  <si>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</si>
  <si>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</si>
  <si>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</si>
  <si>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</si>
  <si>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</si>
  <si>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</si>
  <si>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</si>
  <si>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</si>
  <si>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</si>
  <si>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</si>
  <si>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</si>
  <si>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</si>
  <si>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</si>
  <si>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</si>
  <si>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</si>
  <si>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</si>
  <si>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</si>
  <si>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</si>
  <si>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</si>
  <si>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</si>
  <si>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</si>
  <si>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</si>
  <si>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</si>
  <si>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</si>
  <si>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</si>
  <si>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</si>
  <si>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</si>
  <si>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</si>
  <si>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</si>
  <si>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</si>
  <si>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</si>
  <si>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</si>
  <si>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</si>
  <si>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</si>
  <si>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</si>
  <si>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</si>
  <si>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</si>
  <si>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</si>
  <si>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</si>
  <si>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</si>
  <si>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</si>
  <si>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</si>
  <si>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</si>
  <si>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</si>
  <si>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</si>
  <si>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</si>
  <si>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</si>
  <si>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</si>
  <si>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</si>
  <si>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</si>
  <si>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</si>
  <si>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</si>
  <si>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</si>
  <si>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</si>
  <si>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</si>
  <si>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</si>
  <si>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</si>
  <si>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</si>
  <si>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</si>
  <si>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</si>
  <si>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</si>
  <si>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</si>
  <si>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</si>
  <si>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</si>
  <si>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</si>
  <si>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</si>
  <si>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</si>
  <si>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</si>
  <si>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</si>
  <si>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</si>
  <si>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</si>
  <si>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</si>
  <si>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</si>
  <si>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</si>
  <si>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</si>
  <si>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</si>
  <si>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</si>
  <si>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</si>
  <si>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</si>
  <si>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</si>
  <si>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</si>
  <si>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</si>
  <si>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</si>
  <si>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</si>
  <si>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</si>
  <si>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</si>
  <si>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</si>
  <si>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</si>
  <si>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</si>
  <si>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</si>
  <si>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</si>
  <si>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</si>
  <si>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</si>
  <si>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</si>
  <si>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</si>
  <si>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</si>
  <si>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</si>
  <si>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</si>
  <si>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</si>
  <si>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</si>
  <si>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</si>
  <si>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</si>
  <si>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</si>
  <si>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</si>
  <si>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</si>
  <si>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</si>
  <si>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</si>
  <si>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</si>
  <si>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</si>
  <si>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</si>
  <si>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</si>
  <si>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</si>
  <si>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</si>
  <si>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</si>
  <si>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</si>
  <si>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</si>
  <si>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</si>
  <si>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</si>
  <si>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</si>
  <si>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</si>
  <si>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</si>
  <si>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</si>
  <si>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</si>
  <si>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</si>
  <si>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</si>
  <si>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</si>
  <si>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</si>
  <si>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</si>
  <si>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</si>
  <si>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</si>
  <si>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</si>
  <si>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</si>
  <si>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</si>
  <si>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</si>
  <si>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</si>
  <si>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</si>
  <si>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</si>
  <si>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</si>
  <si>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</si>
  <si>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</si>
  <si>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</si>
  <si>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</si>
  <si>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</si>
  <si>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</si>
  <si>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</si>
  <si>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</si>
  <si>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</si>
  <si>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</si>
  <si>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</si>
  <si>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</si>
  <si>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</si>
  <si>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</si>
  <si>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</si>
  <si>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</si>
  <si>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</si>
  <si>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</si>
  <si>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</si>
  <si>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</si>
  <si>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</si>
  <si>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</si>
  <si>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</si>
  <si>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</si>
  <si>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</si>
  <si>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</si>
  <si>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</si>
  <si>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</si>
  <si>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</si>
  <si>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</si>
  <si>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</si>
  <si>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</si>
  <si>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</si>
  <si>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</si>
  <si>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</si>
  <si>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</si>
  <si>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</si>
  <si>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</si>
  <si>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</si>
  <si>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</si>
  <si>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</si>
  <si>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</si>
  <si>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</si>
  <si>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t>
  </si>
  <si>
    <t>pt_ist_te_10</t>
  </si>
  <si>
    <t>без дифференциации</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</si>
  <si>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</si>
  <si>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</si>
  <si>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</si>
  <si>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</si>
  <si>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</si>
  <si>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</si>
  <si>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</si>
  <si>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</si>
  <si>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</si>
  <si>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</si>
  <si>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</si>
  <si>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</si>
  <si>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</si>
  <si>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</si>
  <si>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</si>
  <si>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</si>
  <si>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</si>
  <si>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</si>
  <si>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</si>
  <si>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</si>
  <si>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</si>
  <si>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</si>
  <si>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</si>
  <si>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</si>
  <si>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</si>
  <si>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</si>
  <si>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</si>
  <si>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</si>
  <si>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</si>
  <si>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</si>
  <si>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</si>
  <si>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</si>
  <si>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</si>
  <si>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</si>
  <si>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</si>
  <si>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</si>
  <si>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</si>
  <si>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</si>
  <si>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</si>
  <si>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</si>
  <si>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</si>
  <si>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</si>
  <si>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</si>
  <si>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</si>
  <si>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</si>
  <si>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</si>
  <si>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</si>
  <si>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</si>
  <si>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</si>
  <si>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</si>
  <si>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</si>
  <si>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</si>
  <si>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</si>
  <si>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</si>
  <si>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</si>
  <si>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</si>
  <si>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</si>
  <si>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</si>
  <si>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</si>
  <si>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</si>
  <si>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</si>
  <si>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</si>
  <si>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</si>
  <si>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</si>
  <si>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</si>
  <si>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</si>
  <si>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</si>
  <si>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</si>
  <si>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</si>
  <si>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</si>
  <si>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</si>
  <si>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</si>
  <si>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</si>
  <si>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</si>
  <si>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</si>
  <si>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</si>
  <si>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</si>
  <si>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</si>
  <si>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</si>
  <si>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</si>
  <si>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</si>
  <si>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</si>
  <si>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</si>
  <si>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</si>
  <si>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</si>
  <si>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</si>
  <si>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</si>
  <si>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</si>
  <si>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</si>
  <si>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</si>
  <si>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</si>
  <si>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</si>
  <si>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</si>
  <si>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</si>
  <si>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</si>
  <si>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</si>
  <si>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</si>
  <si>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</si>
  <si>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</si>
  <si>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</si>
  <si>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</si>
  <si>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</si>
  <si>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</si>
  <si>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</si>
  <si>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</si>
  <si>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</si>
  <si>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</si>
  <si>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</si>
  <si>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</si>
  <si>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</si>
  <si>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</si>
  <si>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</si>
  <si>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</si>
  <si>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</si>
  <si>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</si>
  <si>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</si>
  <si>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</si>
  <si>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</si>
  <si>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</si>
  <si>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</si>
  <si>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</si>
  <si>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</si>
  <si>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</si>
  <si>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</si>
  <si>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</si>
  <si>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</si>
  <si>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</si>
  <si>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</si>
  <si>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</si>
  <si>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</si>
  <si>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</si>
  <si>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</si>
  <si>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</si>
  <si>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</si>
  <si>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</si>
  <si>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</si>
  <si>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</si>
  <si>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</si>
  <si>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</si>
  <si>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</si>
  <si>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</si>
  <si>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</si>
  <si>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</si>
  <si>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</si>
  <si>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</si>
  <si>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</si>
  <si>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</si>
  <si>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</si>
  <si>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</si>
  <si>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</si>
  <si>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</si>
  <si>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</si>
  <si>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</si>
  <si>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</si>
  <si>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</si>
  <si>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</si>
  <si>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</si>
  <si>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</si>
  <si>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</si>
  <si>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</si>
  <si>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</si>
  <si>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</si>
  <si>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</si>
  <si>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</si>
  <si>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</si>
  <si>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</si>
  <si>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</si>
  <si>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</si>
  <si>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</si>
  <si>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</si>
  <si>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</si>
  <si>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</si>
  <si>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</si>
  <si>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</si>
  <si>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</si>
  <si>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</si>
  <si>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</si>
  <si>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</si>
  <si>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</si>
  <si>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</si>
  <si>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</si>
  <si>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</si>
  <si>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</si>
  <si>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</si>
  <si>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</si>
  <si>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</si>
  <si>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</si>
  <si>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</si>
  <si>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</si>
  <si>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</si>
  <si>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</si>
  <si>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</si>
  <si>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</si>
  <si>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</si>
  <si>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</si>
  <si>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</si>
  <si>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</si>
  <si>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</si>
  <si>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</si>
  <si>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</si>
  <si>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</si>
  <si>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</si>
  <si>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</si>
  <si>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</si>
  <si>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</si>
  <si>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</si>
  <si>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</si>
  <si>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</si>
  <si>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</si>
  <si>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</si>
  <si>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</si>
  <si>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</si>
  <si>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</si>
  <si>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</si>
  <si>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</si>
  <si>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</si>
  <si>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</si>
  <si>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</si>
  <si>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</si>
  <si>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</si>
  <si>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</si>
  <si>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</si>
  <si>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</si>
  <si>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</si>
  <si>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</si>
  <si>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</si>
  <si>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</si>
  <si>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</si>
  <si>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</si>
  <si>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</si>
  <si>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</si>
  <si>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</si>
  <si>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</si>
  <si>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</si>
  <si>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</si>
  <si>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</si>
  <si>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</si>
  <si>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</si>
  <si>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</si>
  <si>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</si>
  <si>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</si>
  <si>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</si>
  <si>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</si>
  <si>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</si>
  <si>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</si>
  <si>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</si>
  <si>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</si>
  <si>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</si>
  <si>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</si>
  <si>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</si>
  <si>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</si>
  <si>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</si>
  <si>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</si>
  <si>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</si>
  <si>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</si>
  <si>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</si>
  <si>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</si>
  <si>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</si>
  <si>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</si>
  <si>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</si>
  <si>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</si>
  <si>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</si>
  <si>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</si>
  <si>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</si>
  <si>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</si>
  <si>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</si>
  <si>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</si>
  <si>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</si>
  <si>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</si>
  <si>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</si>
  <si>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</si>
  <si>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</si>
  <si>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</si>
  <si>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</si>
  <si>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</si>
  <si>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</si>
  <si>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</si>
  <si>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</si>
  <si>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</si>
  <si>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</si>
  <si>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</si>
  <si>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</si>
  <si>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</si>
  <si>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</si>
  <si>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</si>
  <si>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</si>
  <si>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</si>
  <si>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</si>
  <si>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</si>
  <si>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</si>
  <si>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</si>
  <si>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</si>
  <si>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</si>
  <si>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</si>
  <si>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</si>
  <si>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</si>
  <si>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</si>
  <si>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</si>
  <si>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</si>
  <si>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</si>
  <si>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</si>
  <si>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</si>
  <si>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</si>
  <si>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</si>
  <si>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</si>
  <si>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</si>
  <si>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</si>
  <si>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</si>
  <si>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</si>
  <si>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</si>
  <si>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</si>
  <si>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</si>
  <si>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</si>
  <si>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</si>
  <si>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</si>
  <si>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</si>
  <si>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</si>
  <si>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</si>
  <si>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</si>
  <si>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</si>
  <si>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</si>
  <si>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</si>
  <si>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</si>
  <si>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</si>
  <si>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</si>
  <si>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</si>
  <si>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</si>
  <si>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</si>
  <si>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</si>
  <si>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</si>
  <si>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</si>
  <si>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</si>
  <si>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</si>
  <si>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</si>
  <si>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</si>
  <si>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</si>
  <si>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</si>
  <si>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</si>
  <si>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</si>
  <si>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</si>
  <si>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</si>
  <si>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</si>
  <si>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</si>
  <si>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</si>
  <si>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</si>
  <si>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</si>
  <si>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</si>
  <si>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</si>
  <si>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</si>
  <si>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</si>
  <si>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</si>
  <si>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</si>
  <si>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</si>
  <si>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</si>
  <si>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</si>
  <si>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</si>
  <si>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</si>
  <si>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</si>
  <si>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</si>
  <si>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</si>
  <si>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</si>
  <si>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</si>
  <si>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</si>
  <si>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</si>
  <si>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</si>
  <si>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</si>
  <si>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</si>
  <si>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</si>
  <si>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</si>
  <si>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</si>
  <si>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</si>
  <si>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</si>
  <si>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</si>
  <si>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</si>
  <si>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</si>
  <si>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</si>
  <si>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</si>
  <si>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</si>
  <si>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</si>
  <si>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</si>
  <si>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</si>
  <si>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</si>
  <si>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</si>
  <si>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</si>
  <si>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</si>
  <si>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</si>
  <si>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</si>
  <si>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</si>
  <si>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</si>
  <si>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</si>
  <si>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</si>
  <si>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</si>
  <si>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</si>
  <si>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</si>
  <si>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</si>
  <si>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</si>
  <si>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</si>
  <si>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</si>
  <si>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</si>
  <si>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</si>
  <si>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</si>
  <si>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</si>
  <si>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</si>
  <si>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</si>
  <si>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</si>
  <si>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</si>
  <si>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</si>
  <si>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</si>
  <si>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</si>
  <si>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</si>
  <si>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</si>
  <si>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</si>
  <si>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</si>
  <si>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</si>
  <si>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</si>
  <si>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</si>
  <si>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</si>
  <si>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</si>
  <si>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</si>
  <si>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</si>
  <si>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</si>
  <si>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</si>
  <si>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</si>
  <si>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</si>
  <si>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</si>
  <si>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</si>
  <si>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</si>
  <si>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</si>
  <si>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</si>
  <si>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</si>
  <si>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</si>
  <si>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</si>
  <si>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</si>
  <si>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</si>
  <si>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</si>
  <si>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</si>
  <si>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</si>
  <si>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</si>
  <si>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</si>
  <si>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</si>
  <si>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</si>
  <si>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</si>
  <si>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</si>
  <si>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</si>
  <si>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</si>
  <si>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</si>
  <si>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</si>
  <si>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</si>
  <si>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</si>
  <si>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</si>
  <si>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</si>
  <si>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</si>
  <si>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</si>
  <si>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</si>
  <si>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</si>
  <si>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</si>
  <si>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</si>
  <si>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</si>
  <si>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</si>
  <si>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</si>
  <si>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</si>
  <si>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</si>
  <si>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</si>
  <si>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</si>
  <si>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</si>
  <si>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</si>
  <si>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</si>
  <si>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</si>
  <si>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</si>
  <si>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</si>
  <si>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</si>
  <si>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</si>
  <si>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</si>
  <si>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</si>
  <si>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</si>
  <si>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</si>
  <si>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</si>
  <si>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</si>
  <si>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</si>
  <si>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</si>
  <si>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</si>
  <si>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</si>
  <si>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</si>
  <si>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</si>
  <si>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</si>
  <si>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</si>
  <si>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</si>
  <si>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</si>
  <si>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</si>
  <si>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</si>
  <si>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</si>
  <si>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</si>
  <si>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</si>
  <si>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</si>
  <si>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</si>
  <si>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</si>
  <si>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</si>
  <si>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</si>
  <si>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</si>
  <si>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</si>
  <si>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</si>
  <si>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</si>
  <si>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</si>
  <si>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</si>
  <si>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</si>
  <si>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</si>
  <si>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</si>
  <si>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</si>
  <si>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</si>
  <si>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</si>
  <si>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</si>
  <si>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</si>
  <si>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</si>
  <si>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</si>
  <si>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</si>
  <si>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</si>
  <si>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</si>
  <si>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</si>
  <si>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</si>
  <si>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</si>
  <si>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</si>
  <si>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</si>
  <si>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</si>
  <si>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</si>
  <si>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</si>
  <si>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</si>
  <si>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</si>
  <si>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</si>
  <si>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</si>
  <si>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</si>
  <si>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</si>
  <si>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</si>
  <si>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</si>
  <si>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</si>
  <si>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</si>
  <si>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</si>
  <si>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</si>
  <si>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</si>
  <si>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</si>
  <si>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</si>
  <si>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</si>
  <si>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</si>
  <si>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</si>
  <si>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</si>
  <si>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</si>
  <si>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</si>
  <si>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</si>
  <si>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</si>
  <si>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</si>
  <si>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</si>
  <si>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</si>
  <si>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</si>
  <si>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</si>
  <si>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</si>
  <si>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</si>
  <si>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</si>
  <si>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</si>
  <si>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</si>
  <si>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</si>
  <si>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</si>
  <si>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</si>
  <si>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</si>
  <si>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</si>
  <si>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</si>
  <si>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</si>
  <si>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</si>
  <si>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</si>
  <si>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</si>
  <si>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</si>
  <si>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</si>
  <si>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</si>
  <si>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</si>
  <si>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</si>
  <si>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</si>
  <si>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</si>
  <si>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</si>
  <si>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</si>
  <si>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</si>
  <si>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</si>
  <si>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</si>
  <si>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</si>
  <si>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</si>
  <si>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</si>
  <si>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</si>
  <si>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</si>
  <si>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</si>
  <si>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</si>
  <si>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</si>
  <si>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</si>
  <si>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</si>
  <si>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</si>
  <si>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</si>
  <si>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</si>
  <si>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</si>
  <si>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</si>
  <si>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</si>
  <si>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</si>
  <si>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</si>
  <si>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</si>
  <si>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</si>
  <si>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</si>
  <si>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</si>
  <si>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</si>
  <si>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</si>
  <si>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</si>
  <si>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</si>
  <si>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</si>
  <si>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</si>
  <si>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</si>
  <si>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</si>
  <si>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</si>
  <si>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</si>
  <si>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</si>
  <si>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</si>
  <si>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</si>
  <si>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</si>
  <si>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</si>
  <si>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</si>
  <si>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</si>
  <si>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</si>
  <si>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</si>
  <si>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</si>
  <si>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</si>
  <si>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</si>
  <si>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</si>
  <si>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</si>
  <si>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</si>
  <si>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</si>
  <si>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</si>
  <si>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</si>
  <si>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</si>
  <si>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</si>
  <si>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</si>
  <si>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</si>
  <si>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</si>
  <si>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</si>
  <si>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</si>
  <si>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</si>
  <si>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</si>
  <si>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</si>
  <si>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</si>
  <si>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</si>
  <si>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</si>
  <si>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</si>
  <si>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</si>
  <si>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</si>
  <si>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</si>
  <si>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</si>
  <si>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</si>
  <si>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</si>
  <si>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</si>
  <si>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</si>
  <si>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</si>
  <si>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</si>
  <si>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https://portal.eias.ru/Portal/DownloadPage.aspx?type=12&amp;guid=dce14a13-dbf9-4b5c-ae1e-4db650865fe6</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</si>
  <si>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</si>
  <si>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</si>
  <si>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</si>
  <si>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Выручка от регулируемых видов деятельности меньше 10% , в связи с этим торги не проводятся</t>
  </si>
  <si>
    <t>https://portal.eias.ru/Portal/DownloadPage.aspx?type=12&amp;guid=05f285ee-1f67-4539-b0dd-a7660c7f8ae0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</si>
  <si>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</si>
  <si>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</si>
  <si>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</si>
  <si>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</si>
  <si>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</si>
  <si>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</si>
  <si>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</si>
  <si>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</si>
  <si>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</si>
  <si>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</si>
  <si>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</si>
  <si>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</si>
  <si>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</si>
  <si>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</si>
  <si>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</si>
  <si>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</si>
  <si>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</si>
  <si>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</si>
  <si>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</si>
  <si>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</si>
  <si>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</si>
  <si>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</si>
  <si>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</si>
  <si>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</si>
  <si>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</si>
  <si>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</si>
  <si>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</si>
  <si>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</si>
  <si>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</si>
  <si>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</si>
  <si>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</si>
  <si>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</si>
  <si>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</si>
  <si>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</si>
  <si>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</si>
  <si>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</si>
  <si>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</si>
  <si>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</si>
  <si>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</si>
  <si>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</si>
  <si>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</si>
  <si>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</si>
  <si>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</si>
  <si>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</si>
  <si>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</si>
  <si>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</si>
  <si>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</si>
  <si>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</si>
  <si>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</si>
  <si>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</si>
  <si>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</si>
  <si>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</si>
  <si>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</si>
  <si>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</si>
  <si>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</si>
  <si>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</si>
  <si>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</si>
  <si>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</si>
  <si>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</si>
  <si>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</si>
  <si>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</si>
  <si>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</si>
  <si>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</si>
  <si>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</si>
  <si>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</si>
  <si>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</si>
  <si>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</si>
  <si>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</si>
  <si>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</si>
  <si>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</si>
  <si>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</si>
  <si>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</si>
  <si>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</si>
  <si>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</si>
  <si>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</si>
  <si>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</si>
  <si>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</si>
  <si>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</si>
  <si>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</si>
  <si>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</si>
  <si>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</si>
  <si>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</si>
  <si>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</si>
  <si>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</si>
  <si>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</si>
  <si>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</si>
  <si>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</si>
  <si>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</si>
  <si>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</si>
  <si>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</si>
  <si>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</si>
  <si>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</si>
  <si>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</si>
  <si>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</si>
  <si>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</si>
  <si>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</si>
  <si>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</si>
  <si>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</si>
  <si>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</si>
  <si>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</si>
  <si>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</si>
  <si>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</si>
  <si>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</si>
  <si>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</si>
  <si>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</si>
  <si>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</si>
  <si>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</si>
  <si>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</si>
  <si>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</si>
  <si>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</si>
  <si>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</si>
  <si>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</si>
  <si>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</si>
  <si>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</si>
  <si>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</si>
  <si>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</si>
  <si>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</si>
  <si>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</si>
  <si>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</si>
  <si>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</si>
  <si>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</si>
  <si>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</si>
  <si>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</si>
  <si>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</si>
  <si>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</si>
  <si>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</si>
  <si>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</si>
  <si>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</si>
  <si>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</si>
  <si>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</si>
  <si>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</si>
  <si>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</si>
  <si>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</si>
  <si>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</si>
  <si>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</si>
  <si>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</si>
  <si>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</si>
  <si>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</si>
  <si>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</si>
  <si>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</si>
  <si>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</si>
  <si>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</si>
  <si>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</si>
  <si>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</si>
  <si>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</si>
  <si>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</si>
  <si>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</si>
  <si>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</si>
  <si>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</si>
  <si>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</si>
  <si>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</si>
  <si>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</si>
  <si>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</si>
  <si>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</si>
  <si>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</si>
  <si>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</si>
  <si>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</si>
  <si>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</si>
  <si>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</si>
  <si>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</si>
  <si>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</si>
  <si>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</si>
  <si>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</si>
  <si>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</si>
  <si>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</si>
  <si>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</si>
  <si>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</si>
  <si>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</si>
  <si>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</si>
  <si>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</si>
  <si>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</si>
  <si>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</si>
  <si>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</si>
  <si>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</si>
  <si>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</si>
  <si>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</si>
  <si>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</si>
  <si>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</si>
  <si>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</si>
  <si>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</si>
  <si>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</si>
  <si>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</si>
  <si>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</si>
  <si>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</si>
  <si>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</si>
  <si>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</si>
  <si>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</si>
  <si>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</si>
  <si>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</si>
  <si>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</si>
  <si>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</si>
  <si>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</si>
  <si>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</si>
  <si>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</si>
  <si>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</si>
  <si>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</si>
  <si>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</si>
  <si>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</si>
  <si>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</si>
  <si>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</si>
  <si>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</si>
  <si>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</si>
  <si>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</si>
  <si>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</si>
  <si>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</si>
  <si>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</si>
  <si>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</si>
  <si>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</si>
  <si>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</si>
  <si>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</si>
  <si>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</si>
  <si>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</si>
  <si>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</si>
  <si>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</si>
  <si>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</si>
  <si>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</si>
  <si>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</si>
  <si>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</si>
  <si>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</si>
  <si>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</si>
  <si>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</si>
  <si>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</si>
  <si>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</si>
  <si>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</si>
  <si>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</si>
  <si>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</si>
  <si>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</si>
  <si>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</si>
  <si>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</si>
  <si>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</si>
  <si>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</si>
  <si>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</si>
  <si>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</si>
  <si>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</si>
  <si>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</si>
  <si>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</si>
  <si>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</si>
  <si>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</si>
  <si>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</si>
  <si>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</si>
  <si>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</si>
  <si>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</si>
  <si>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</si>
  <si>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</si>
  <si>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</si>
  <si>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</si>
  <si>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</si>
  <si>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</si>
  <si>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</si>
  <si>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</si>
  <si>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</si>
  <si>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</si>
  <si>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</si>
  <si>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</si>
  <si>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</si>
  <si>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</si>
  <si>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</si>
  <si>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</si>
  <si>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</si>
  <si>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</si>
  <si>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</si>
  <si>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</si>
  <si>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</si>
  <si>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</si>
  <si>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</si>
  <si>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</si>
  <si>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</si>
  <si>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</si>
  <si>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</si>
  <si>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</si>
  <si>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</si>
  <si>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</si>
  <si>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</si>
  <si>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</si>
  <si>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</si>
  <si>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</si>
  <si>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</si>
  <si>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</si>
  <si>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</si>
  <si>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</si>
  <si>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</si>
  <si>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</si>
  <si>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</si>
  <si>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</si>
  <si>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</si>
  <si>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</si>
  <si>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</si>
  <si>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</si>
  <si>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</si>
  <si>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</si>
  <si>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</si>
  <si>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</si>
  <si>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</si>
  <si>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</si>
  <si>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</si>
  <si>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</si>
  <si>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</si>
  <si>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</si>
  <si>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</si>
  <si>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</si>
  <si>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</si>
  <si>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</si>
  <si>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</si>
  <si>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</si>
  <si>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</si>
  <si>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</si>
  <si>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</si>
  <si>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</si>
  <si>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</si>
  <si>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</si>
  <si>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</si>
  <si>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</si>
  <si>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</si>
  <si>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</si>
  <si>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</si>
  <si>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</si>
  <si>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</si>
  <si>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</si>
  <si>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</si>
  <si>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</si>
  <si>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</si>
  <si>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</si>
  <si>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</si>
  <si>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</si>
  <si>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</si>
  <si>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</si>
  <si>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</si>
  <si>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</si>
  <si>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</si>
  <si>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</si>
  <si>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</si>
  <si>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</si>
  <si>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</si>
  <si>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</si>
  <si>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</si>
  <si>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</si>
  <si>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</si>
  <si>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</si>
  <si>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</si>
  <si>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</si>
  <si>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</si>
  <si>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</si>
  <si>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</si>
  <si>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</si>
  <si>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</si>
  <si>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</si>
  <si>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</si>
  <si>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</si>
  <si>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</si>
  <si>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</si>
  <si>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</si>
  <si>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</si>
  <si>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</si>
  <si>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</si>
  <si>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</si>
  <si>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</si>
  <si>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</si>
  <si>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</si>
  <si>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</si>
  <si>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</si>
  <si>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</si>
  <si>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</si>
  <si>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</si>
  <si>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</si>
  <si>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</si>
  <si>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</si>
  <si>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</si>
  <si>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</si>
  <si>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</si>
  <si>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</si>
  <si>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</si>
  <si>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</si>
  <si>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</si>
  <si>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</si>
  <si>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</si>
  <si>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</si>
  <si>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</si>
  <si>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</si>
  <si>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</si>
  <si>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</si>
  <si>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</si>
  <si>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</si>
  <si>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</si>
  <si>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</si>
  <si>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</si>
  <si>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</si>
  <si>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</si>
  <si>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</si>
  <si>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</si>
  <si>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</si>
  <si>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</si>
  <si>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</si>
  <si>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</si>
  <si>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</si>
  <si>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</si>
  <si>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</si>
  <si>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</si>
  <si>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</si>
  <si>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</si>
  <si>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</si>
  <si>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</si>
  <si>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</si>
  <si>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</si>
  <si>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</si>
  <si>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</si>
  <si>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</si>
  <si>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</si>
  <si>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</si>
  <si>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</si>
  <si>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</si>
  <si>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</si>
  <si>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</si>
  <si>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</si>
  <si>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</si>
  <si>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</si>
  <si>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</si>
  <si>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</si>
  <si>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</si>
  <si>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</si>
  <si>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</si>
  <si>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</si>
  <si>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</si>
  <si>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</si>
  <si>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</si>
  <si>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</si>
  <si>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</si>
  <si>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</si>
  <si>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</si>
  <si>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</si>
  <si>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</si>
  <si>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</si>
  <si>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</si>
  <si>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</si>
  <si>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</si>
  <si>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</si>
  <si>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</si>
  <si>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</si>
  <si>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</si>
  <si>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</si>
  <si>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</si>
  <si>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</si>
  <si>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</si>
  <si>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</si>
  <si>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</si>
  <si>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</si>
  <si>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</si>
  <si>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</si>
  <si>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</si>
  <si>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</si>
  <si>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</si>
  <si>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</si>
  <si>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</si>
  <si>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</si>
  <si>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</si>
  <si>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</si>
  <si>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</si>
  <si>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</si>
  <si>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</si>
  <si>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</si>
  <si>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</si>
  <si>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</si>
  <si>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</si>
  <si>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</si>
  <si>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</si>
  <si>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</si>
  <si>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</si>
  <si>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</si>
  <si>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</si>
  <si>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</si>
  <si>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</si>
  <si>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</si>
  <si>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</si>
  <si>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</si>
  <si>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</si>
  <si>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</si>
  <si>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</si>
  <si>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</si>
  <si>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</si>
  <si>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</si>
  <si>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</si>
  <si>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</si>
  <si>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</si>
  <si>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</si>
  <si>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</si>
  <si>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</si>
  <si>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</si>
  <si>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</si>
  <si>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</si>
  <si>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</si>
  <si>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</si>
  <si>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</si>
  <si>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</si>
  <si>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</si>
  <si>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</si>
  <si>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</si>
  <si>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</si>
  <si>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</si>
  <si>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</si>
  <si>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</si>
  <si>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</si>
  <si>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</si>
  <si>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</si>
  <si>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</si>
  <si>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</si>
  <si>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</si>
  <si>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</si>
  <si>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</si>
  <si>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</si>
  <si>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</si>
  <si>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</si>
  <si>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</si>
  <si>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</si>
  <si>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</si>
  <si>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</si>
  <si>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</si>
  <si>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</si>
  <si>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</si>
  <si>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</si>
  <si>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</si>
  <si>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</si>
  <si>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</si>
  <si>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</si>
  <si>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</si>
  <si>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</si>
  <si>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</si>
  <si>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</si>
  <si>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</si>
  <si>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</si>
  <si>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</si>
  <si>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</si>
  <si>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</si>
  <si>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</si>
  <si>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</si>
  <si>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</si>
  <si>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</si>
  <si>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</si>
  <si>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</si>
  <si>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</si>
  <si>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</si>
  <si>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</si>
  <si>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</si>
  <si>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</si>
  <si>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</si>
  <si>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</si>
  <si>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</si>
  <si>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</si>
  <si>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</si>
  <si>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</si>
  <si>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</si>
  <si>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</si>
  <si>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</si>
  <si>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</si>
  <si>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</si>
  <si>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</si>
  <si>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</si>
  <si>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</si>
  <si>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</si>
  <si>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</si>
  <si>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</si>
  <si>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</si>
  <si>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</si>
  <si>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</si>
  <si>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</si>
  <si>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</si>
  <si>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</si>
  <si>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</si>
  <si>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</si>
  <si>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</si>
  <si>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</si>
  <si>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</si>
  <si>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</si>
  <si>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</si>
  <si>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</si>
  <si>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</si>
  <si>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</si>
  <si>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</si>
  <si>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</si>
  <si>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</si>
  <si>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</si>
  <si>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</si>
  <si>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</si>
  <si>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</si>
  <si>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</si>
  <si>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</si>
  <si>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</si>
  <si>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</si>
  <si>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</si>
  <si>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</si>
  <si>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</si>
  <si>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</si>
  <si>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</si>
  <si>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</si>
  <si>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</si>
  <si>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</si>
  <si>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</si>
  <si>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</si>
  <si>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</si>
  <si>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</si>
  <si>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</si>
  <si>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</si>
  <si>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</si>
  <si>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</si>
  <si>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</si>
  <si>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</si>
  <si>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</si>
  <si>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</si>
  <si>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</si>
  <si>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</si>
  <si>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</si>
  <si>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</si>
  <si>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</si>
  <si>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</si>
  <si>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</si>
  <si>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</si>
  <si>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</si>
  <si>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</si>
  <si>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</si>
  <si>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</si>
  <si>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</si>
  <si>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</si>
  <si>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</si>
  <si>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</si>
  <si>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</si>
  <si>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</si>
  <si>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</si>
  <si>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</si>
  <si>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</si>
  <si>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</si>
  <si>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</si>
  <si>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</si>
  <si>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</si>
  <si>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</si>
  <si>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</si>
  <si>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</si>
  <si>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</si>
  <si>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</si>
  <si>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</si>
  <si>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</si>
  <si>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</si>
  <si>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</si>
  <si>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</si>
  <si>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</si>
  <si>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</si>
  <si>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</si>
  <si>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</si>
  <si>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</si>
  <si>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</si>
  <si>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</si>
  <si>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</si>
  <si>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</si>
  <si>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</si>
  <si>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</si>
  <si>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</si>
  <si>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</si>
  <si>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</si>
  <si>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</si>
  <si>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</si>
  <si>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</si>
  <si>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</si>
  <si>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</si>
  <si>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</si>
  <si>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</si>
  <si>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</si>
  <si>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</si>
  <si>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</si>
  <si>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</si>
  <si>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</si>
  <si>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</si>
  <si>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</si>
  <si>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</si>
  <si>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</si>
  <si>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</si>
  <si>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</si>
  <si>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</si>
  <si>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</si>
  <si>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</si>
  <si>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</si>
  <si>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</si>
  <si>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</si>
  <si>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</si>
  <si>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</si>
  <si>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</si>
  <si>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</si>
  <si>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</si>
  <si>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</si>
  <si>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</si>
  <si>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</si>
  <si>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</si>
  <si>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</si>
  <si>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</si>
  <si>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</si>
  <si>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</si>
  <si>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</si>
  <si>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</si>
  <si>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</si>
  <si>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</si>
  <si>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</si>
  <si>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</si>
  <si>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</si>
  <si>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</si>
  <si>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</si>
  <si>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</si>
  <si>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</si>
  <si>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</si>
  <si>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</si>
  <si>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</si>
  <si>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</si>
  <si>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</si>
  <si>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</si>
  <si>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</si>
  <si>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</si>
  <si>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</si>
  <si>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</si>
  <si>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</si>
  <si>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</si>
  <si>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</si>
  <si>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</si>
  <si>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</si>
  <si>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</si>
  <si>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</si>
  <si>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</si>
  <si>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</si>
  <si>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</si>
  <si>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</si>
  <si>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</si>
  <si>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</si>
  <si>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</si>
  <si>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</si>
  <si>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</si>
  <si>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</si>
  <si>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</si>
  <si>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</si>
  <si>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</si>
  <si>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</si>
  <si>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</si>
  <si>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</si>
  <si>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</si>
  <si>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</si>
  <si>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</si>
  <si>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</si>
  <si>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</si>
  <si>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</si>
  <si>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</si>
  <si>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</si>
  <si>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</si>
  <si>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</si>
  <si>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</si>
  <si>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</si>
  <si>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</si>
  <si>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</si>
  <si>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</si>
  <si>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</si>
  <si>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</si>
  <si>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</si>
  <si>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</si>
  <si>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</si>
  <si>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</si>
  <si>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</si>
  <si>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</si>
  <si>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</si>
  <si>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</si>
  <si>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</si>
  <si>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</si>
  <si>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</si>
  <si>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</si>
  <si>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</si>
  <si>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</si>
  <si>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</si>
  <si>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</si>
  <si>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</si>
  <si>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</si>
  <si>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</si>
  <si>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</si>
  <si>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</si>
  <si>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</si>
  <si>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</si>
  <si>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</si>
  <si>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</si>
  <si>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</si>
  <si>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</si>
  <si>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</si>
  <si>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</si>
  <si>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</si>
  <si>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</si>
  <si>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</si>
  <si>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</si>
  <si>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</si>
  <si>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</si>
  <si>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</si>
  <si>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</si>
  <si>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</si>
  <si>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</si>
  <si>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</si>
  <si>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</si>
  <si>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</si>
  <si>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</si>
  <si>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</si>
  <si>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</si>
  <si>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</si>
  <si>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</si>
  <si>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</si>
  <si>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</si>
  <si>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</si>
  <si>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</si>
  <si>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</si>
  <si>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</si>
  <si>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</si>
  <si>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</si>
  <si>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</si>
  <si>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</si>
  <si>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</si>
  <si>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</si>
  <si>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</si>
  <si>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</si>
  <si>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</si>
  <si>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</si>
  <si>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</si>
  <si>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</si>
  <si>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</si>
  <si>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</si>
  <si>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</si>
  <si>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</si>
  <si>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</si>
  <si>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</si>
  <si>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</si>
  <si>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</si>
  <si>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</si>
  <si>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</si>
  <si>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</si>
  <si>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</si>
  <si>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</si>
  <si>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</si>
  <si>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</si>
  <si>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</si>
  <si>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</si>
  <si>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</si>
  <si>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</si>
  <si>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</si>
  <si>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</si>
  <si>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</si>
  <si>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</si>
  <si>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</si>
  <si>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</si>
  <si>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</si>
  <si>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</si>
  <si>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</si>
  <si>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</si>
  <si>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</si>
  <si>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</si>
  <si>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</si>
  <si>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</si>
  <si>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</si>
  <si>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</si>
  <si>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</si>
  <si>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</si>
  <si>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</si>
  <si>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</si>
  <si>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</si>
  <si>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</si>
  <si>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</si>
  <si>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</si>
  <si>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</si>
  <si>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</si>
  <si>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</si>
  <si>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</si>
  <si>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</si>
  <si>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</si>
  <si>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</si>
  <si>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</si>
  <si>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</si>
  <si>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</si>
  <si>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</si>
  <si>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</si>
  <si>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</si>
  <si>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</si>
  <si>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</si>
  <si>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</si>
  <si>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</si>
  <si>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</si>
  <si>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</si>
  <si>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</si>
  <si>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</si>
  <si>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</si>
  <si>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</si>
  <si>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</si>
  <si>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</si>
  <si>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</si>
  <si>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</si>
  <si>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</si>
  <si>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</si>
  <si>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</si>
  <si>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</si>
  <si>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</si>
  <si>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</si>
  <si>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</si>
  <si>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</si>
  <si>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</si>
  <si>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</si>
  <si>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</si>
  <si>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</si>
  <si>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</si>
  <si>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</si>
  <si>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</si>
  <si>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</si>
  <si>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</si>
  <si>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</si>
  <si>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</si>
  <si>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</si>
  <si>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</si>
  <si>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</si>
  <si>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</si>
  <si>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</si>
  <si>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</si>
  <si>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</si>
  <si>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</si>
  <si>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</si>
  <si>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</si>
  <si>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</si>
  <si>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</si>
  <si>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</si>
  <si>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</si>
  <si>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</si>
  <si>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</si>
  <si>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</si>
  <si>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</si>
  <si>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</si>
  <si>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</si>
  <si>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</si>
  <si>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</si>
  <si>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</si>
  <si>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</si>
  <si>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</si>
  <si>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</si>
  <si>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</si>
  <si>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</si>
  <si>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</si>
  <si>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</si>
  <si>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</si>
  <si>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</si>
  <si>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</si>
  <si>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</si>
  <si>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</si>
  <si>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</si>
  <si>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</si>
  <si>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</si>
  <si>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</si>
  <si>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</si>
  <si>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</si>
  <si>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</si>
  <si>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</si>
  <si>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</si>
  <si>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</si>
  <si>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</si>
  <si>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</si>
  <si>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</si>
  <si>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</si>
  <si>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</si>
  <si>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</si>
  <si>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</si>
  <si>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</si>
  <si>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</si>
  <si>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</si>
  <si>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</si>
  <si>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</si>
  <si>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</si>
  <si>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</si>
  <si>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</si>
  <si>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</si>
  <si>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</si>
  <si>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</si>
  <si>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</si>
  <si>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</si>
  <si>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</si>
  <si>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</si>
  <si>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</si>
  <si>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</si>
  <si>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</si>
  <si>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</si>
  <si>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</si>
  <si>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</si>
  <si>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</si>
  <si>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</si>
  <si>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</si>
  <si>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</si>
  <si>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</si>
  <si>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</si>
  <si>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</si>
  <si>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</si>
  <si>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</si>
  <si>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</si>
  <si>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</si>
  <si>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</si>
  <si>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</si>
  <si>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</si>
  <si>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</si>
  <si>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</si>
  <si>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</si>
  <si>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</si>
  <si>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</si>
  <si>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</si>
  <si>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</si>
  <si>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</si>
  <si>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</si>
  <si>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</si>
  <si>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</si>
  <si>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</si>
  <si>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</si>
  <si>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</si>
  <si>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</si>
  <si>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</si>
  <si>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</si>
  <si>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</si>
  <si>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</si>
  <si>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</si>
  <si>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</si>
  <si>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</si>
  <si>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</si>
  <si>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</si>
  <si>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</si>
  <si>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</si>
  <si>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</si>
  <si>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</si>
  <si>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</si>
  <si>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</si>
  <si>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</si>
  <si>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</si>
  <si>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</si>
  <si>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</si>
  <si>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</si>
  <si>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</si>
  <si>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</si>
  <si>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</si>
  <si>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</si>
  <si>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</si>
  <si>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</si>
  <si>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</si>
  <si>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</si>
  <si>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</si>
  <si>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</si>
  <si>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</si>
  <si>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</si>
  <si>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</si>
  <si>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</si>
  <si>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</si>
  <si>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</si>
  <si>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</si>
  <si>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</si>
  <si>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</si>
  <si>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</si>
  <si>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</si>
  <si>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</si>
  <si>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</si>
  <si>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</si>
  <si>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</si>
  <si>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</si>
  <si>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</si>
  <si>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</si>
  <si>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</si>
  <si>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</si>
  <si>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</si>
  <si>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</si>
  <si>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</si>
  <si>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</si>
  <si>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</si>
  <si>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</si>
  <si>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</si>
  <si>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</si>
  <si>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</si>
  <si>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</si>
  <si>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</si>
  <si>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</si>
  <si>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</si>
  <si>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</si>
  <si>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</si>
  <si>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</si>
  <si>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</si>
  <si>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</si>
  <si>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</si>
  <si>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</si>
  <si>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</si>
  <si>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</si>
  <si>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</si>
  <si>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</si>
  <si>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</si>
  <si>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</si>
  <si>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</si>
  <si>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</si>
  <si>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</si>
  <si>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</si>
  <si>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</si>
  <si>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</si>
  <si>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</si>
  <si>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</si>
  <si>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</si>
  <si>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</si>
  <si>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</si>
  <si>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</si>
  <si>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</si>
  <si>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</si>
  <si>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</si>
  <si>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</si>
  <si>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</si>
  <si>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</si>
  <si>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</si>
  <si>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</si>
  <si>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31771816</t>
  </si>
  <si>
    <t>АО "Газовое хозяйство"</t>
  </si>
  <si>
    <t>6617031384</t>
  </si>
  <si>
    <t>661701001</t>
  </si>
  <si>
    <t>26359613</t>
  </si>
  <si>
    <t>АО "ДИНУР"</t>
  </si>
  <si>
    <t>6625004698</t>
  </si>
  <si>
    <t>668401001</t>
  </si>
  <si>
    <t>18-11-1992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</si>
  <si>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</si>
  <si>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</si>
  <si>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</si>
  <si>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</si>
  <si>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</si>
  <si>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</si>
  <si>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</si>
  <si>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</si>
  <si>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</si>
  <si>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</si>
  <si>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</si>
  <si>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</si>
  <si>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</si>
  <si>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</si>
  <si>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</si>
  <si>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</si>
  <si>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</si>
  <si>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</si>
  <si>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</si>
  <si>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</si>
  <si>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</si>
  <si>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</si>
  <si>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</si>
  <si>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</si>
  <si>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</si>
  <si>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</si>
  <si>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</si>
  <si>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</si>
  <si>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</si>
  <si>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</si>
  <si>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</si>
  <si>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</si>
  <si>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</si>
  <si>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</si>
  <si>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</si>
  <si>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</si>
  <si>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</si>
  <si>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</si>
  <si>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</si>
  <si>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</si>
  <si>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</si>
  <si>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</si>
  <si>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</si>
  <si>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</si>
  <si>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</si>
  <si>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</si>
  <si>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</si>
  <si>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</si>
  <si>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</si>
  <si>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</si>
  <si>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</si>
  <si>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31-12-2017 00:00:00</t>
  </si>
  <si>
    <t>26575381</t>
  </si>
  <si>
    <t>АО "Стройматериалы", г.Екатеринбург</t>
  </si>
  <si>
    <t>6660000978</t>
  </si>
  <si>
    <t>667001001</t>
  </si>
  <si>
    <t>31776595</t>
  </si>
  <si>
    <t>АО "Уралтурбо"</t>
  </si>
  <si>
    <t>6659003244</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</si>
  <si>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</si>
  <si>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</si>
  <si>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</si>
  <si>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</si>
  <si>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</si>
  <si>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</si>
  <si>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</si>
  <si>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</si>
  <si>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</si>
  <si>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</si>
  <si>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</si>
  <si>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</si>
  <si>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</si>
  <si>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</si>
  <si>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</si>
  <si>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</si>
  <si>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</si>
  <si>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</si>
  <si>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</si>
  <si>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</si>
  <si>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</si>
  <si>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</si>
  <si>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</si>
  <si>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</si>
  <si>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</si>
  <si>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</si>
  <si>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</si>
  <si>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</si>
  <si>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</si>
  <si>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</si>
  <si>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</si>
  <si>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</si>
  <si>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</si>
  <si>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</si>
  <si>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</si>
  <si>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</si>
  <si>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</si>
  <si>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</si>
  <si>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</si>
  <si>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</si>
  <si>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</si>
  <si>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</si>
  <si>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</si>
  <si>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</si>
  <si>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</si>
  <si>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</si>
  <si>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</si>
  <si>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</si>
  <si>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</si>
  <si>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</si>
  <si>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</si>
  <si>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</si>
  <si>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</si>
  <si>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</si>
  <si>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</si>
  <si>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</si>
  <si>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</si>
  <si>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</si>
  <si>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</si>
  <si>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</si>
  <si>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</si>
  <si>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</si>
  <si>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</si>
  <si>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</si>
  <si>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</si>
  <si>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</si>
  <si>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</si>
  <si>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</si>
  <si>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</si>
  <si>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</si>
  <si>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</si>
  <si>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</si>
  <si>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</si>
  <si>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</si>
  <si>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</si>
  <si>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</si>
  <si>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</si>
  <si>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</si>
  <si>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</si>
  <si>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</si>
  <si>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</si>
  <si>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</si>
  <si>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</si>
  <si>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</si>
  <si>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</si>
  <si>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</si>
  <si>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</si>
  <si>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</si>
  <si>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</si>
  <si>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</si>
  <si>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</si>
  <si>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</si>
  <si>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</si>
  <si>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</si>
  <si>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</si>
  <si>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</si>
  <si>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</si>
  <si>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</si>
  <si>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</si>
  <si>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</si>
  <si>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</si>
  <si>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</si>
  <si>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</si>
  <si>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</si>
  <si>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</si>
  <si>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</si>
  <si>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</si>
  <si>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</si>
  <si>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</si>
  <si>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</si>
  <si>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</si>
  <si>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</si>
  <si>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</si>
  <si>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</si>
  <si>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</si>
  <si>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</si>
  <si>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</si>
  <si>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</si>
  <si>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</si>
  <si>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</si>
  <si>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</si>
  <si>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</si>
  <si>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</si>
  <si>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</si>
  <si>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</si>
  <si>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</si>
  <si>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</si>
  <si>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</si>
  <si>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</si>
  <si>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</si>
  <si>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</si>
  <si>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</si>
  <si>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</si>
  <si>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</si>
  <si>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</si>
  <si>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</si>
  <si>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</si>
  <si>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</si>
  <si>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</si>
  <si>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</si>
  <si>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</si>
  <si>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26359622</t>
  </si>
  <si>
    <t>Акционерное общество "Полевская коммунальная компания", г.Полевской</t>
  </si>
  <si>
    <t>6626013800</t>
  </si>
  <si>
    <t>25-07-2003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</si>
  <si>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</si>
  <si>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</si>
  <si>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</si>
  <si>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</si>
  <si>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</si>
  <si>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</si>
  <si>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</si>
  <si>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</si>
  <si>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</si>
  <si>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</si>
  <si>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</si>
  <si>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</si>
  <si>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</si>
  <si>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</si>
  <si>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</si>
  <si>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</si>
  <si>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</si>
  <si>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</si>
  <si>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</si>
  <si>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</si>
  <si>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</si>
  <si>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</si>
  <si>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</si>
  <si>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</si>
  <si>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</si>
  <si>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</si>
  <si>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</si>
  <si>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</si>
  <si>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</si>
  <si>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</si>
  <si>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</si>
  <si>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</si>
  <si>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</si>
  <si>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</si>
  <si>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</si>
  <si>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</si>
  <si>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</si>
  <si>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</si>
  <si>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</si>
  <si>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</si>
  <si>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</si>
  <si>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</si>
  <si>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</si>
  <si>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</si>
  <si>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</si>
  <si>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</si>
  <si>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</si>
  <si>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</si>
  <si>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</si>
  <si>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</si>
  <si>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</si>
  <si>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</si>
  <si>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</si>
  <si>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</si>
  <si>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</si>
  <si>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</si>
  <si>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661943003</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</si>
  <si>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</si>
  <si>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</si>
  <si>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</si>
  <si>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</si>
  <si>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</si>
  <si>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</si>
  <si>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</si>
  <si>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</si>
  <si>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</si>
  <si>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</si>
  <si>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</si>
  <si>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</si>
  <si>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</si>
  <si>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</si>
  <si>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</si>
  <si>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</si>
  <si>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</si>
  <si>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</si>
  <si>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</si>
  <si>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</si>
  <si>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</si>
  <si>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</si>
  <si>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</si>
  <si>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</si>
  <si>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</si>
  <si>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</si>
  <si>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</si>
  <si>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</si>
  <si>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</si>
  <si>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</si>
  <si>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</si>
  <si>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</si>
  <si>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</si>
  <si>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</si>
  <si>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</si>
  <si>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</si>
  <si>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</si>
  <si>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</si>
  <si>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</si>
  <si>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</si>
  <si>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</si>
  <si>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</si>
  <si>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</si>
  <si>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</si>
  <si>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</si>
  <si>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</si>
  <si>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</si>
  <si>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</si>
  <si>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</si>
  <si>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</si>
  <si>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</si>
  <si>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</si>
  <si>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</si>
  <si>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</si>
  <si>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</si>
  <si>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</si>
  <si>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</si>
  <si>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</si>
  <si>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</si>
  <si>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</si>
  <si>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</si>
  <si>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</si>
  <si>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</si>
  <si>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</si>
  <si>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</si>
  <si>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</si>
  <si>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</si>
  <si>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26359706</t>
  </si>
  <si>
    <t>Акционерное общество "Уралбурмаш", п.Верхние Серги</t>
  </si>
  <si>
    <t>6646000133</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</si>
  <si>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</si>
  <si>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</si>
  <si>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</si>
  <si>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</si>
  <si>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</si>
  <si>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</si>
  <si>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</si>
  <si>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</si>
  <si>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</si>
  <si>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</si>
  <si>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</si>
  <si>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</si>
  <si>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</si>
  <si>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</si>
  <si>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</si>
  <si>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</si>
  <si>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</si>
  <si>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</si>
  <si>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</si>
  <si>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</si>
  <si>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</si>
  <si>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</si>
  <si>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</si>
  <si>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</si>
  <si>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</si>
  <si>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</si>
  <si>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</si>
  <si>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</si>
  <si>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</si>
  <si>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</si>
  <si>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</si>
  <si>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</si>
  <si>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</si>
  <si>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</si>
  <si>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</si>
  <si>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</si>
  <si>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</si>
  <si>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</si>
  <si>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</si>
  <si>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</si>
  <si>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</si>
  <si>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</si>
  <si>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</si>
  <si>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</si>
  <si>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</si>
  <si>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</si>
  <si>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</si>
  <si>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</si>
  <si>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</si>
  <si>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</si>
  <si>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</si>
  <si>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</si>
  <si>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</si>
  <si>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</si>
  <si>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</si>
  <si>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</si>
  <si>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</si>
  <si>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</si>
  <si>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</si>
  <si>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</si>
  <si>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</si>
  <si>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</si>
  <si>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</si>
  <si>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</si>
  <si>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</si>
  <si>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</si>
  <si>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</si>
  <si>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</si>
  <si>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</si>
  <si>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</si>
  <si>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</si>
  <si>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</si>
  <si>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</si>
  <si>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</si>
  <si>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</si>
  <si>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</si>
  <si>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</si>
  <si>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</si>
  <si>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</si>
  <si>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</si>
  <si>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</si>
  <si>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</si>
  <si>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</si>
  <si>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</si>
  <si>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</si>
  <si>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</si>
  <si>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</si>
  <si>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</si>
  <si>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</si>
  <si>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</si>
  <si>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</si>
  <si>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</si>
  <si>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</si>
  <si>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</si>
  <si>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</si>
  <si>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</si>
  <si>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</si>
  <si>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</si>
  <si>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</si>
  <si>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</si>
  <si>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</si>
  <si>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</si>
  <si>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</si>
  <si>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</si>
  <si>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</si>
  <si>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</si>
  <si>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</si>
  <si>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</si>
  <si>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</si>
  <si>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</si>
  <si>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</si>
  <si>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</si>
  <si>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</si>
  <si>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</si>
  <si>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</si>
  <si>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</si>
  <si>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</si>
  <si>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</si>
  <si>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</si>
  <si>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</si>
  <si>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</si>
  <si>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</si>
  <si>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</si>
  <si>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</si>
  <si>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</si>
  <si>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</si>
  <si>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</si>
  <si>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</si>
  <si>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</si>
  <si>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</si>
  <si>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</si>
  <si>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26479387</t>
  </si>
  <si>
    <t>Екатеринбургская таможня, г.Екатеринбург</t>
  </si>
  <si>
    <t>6662022335</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</si>
  <si>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</si>
  <si>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</si>
  <si>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</si>
  <si>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</si>
  <si>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</si>
  <si>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</si>
  <si>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</si>
  <si>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</si>
  <si>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</si>
  <si>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</si>
  <si>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</si>
  <si>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</si>
  <si>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</si>
  <si>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</si>
  <si>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</si>
  <si>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</si>
  <si>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</si>
  <si>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</si>
  <si>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</si>
  <si>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</si>
  <si>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</si>
  <si>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</si>
  <si>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</si>
  <si>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</si>
  <si>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</si>
  <si>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</si>
  <si>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</si>
  <si>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</si>
  <si>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</si>
  <si>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</si>
  <si>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</si>
  <si>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</si>
  <si>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</si>
  <si>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</si>
  <si>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</si>
  <si>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</si>
  <si>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</si>
  <si>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</si>
  <si>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</si>
  <si>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</si>
  <si>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</si>
  <si>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</si>
  <si>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</si>
  <si>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</si>
  <si>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</si>
  <si>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</si>
  <si>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</si>
  <si>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</si>
  <si>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</si>
  <si>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</si>
  <si>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</si>
  <si>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</si>
  <si>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</si>
  <si>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</si>
  <si>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</si>
  <si>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</si>
  <si>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</si>
  <si>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</si>
  <si>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</si>
  <si>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</si>
  <si>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</si>
  <si>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</si>
  <si>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</si>
  <si>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</si>
  <si>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</si>
  <si>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</si>
  <si>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</si>
  <si>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</si>
  <si>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</si>
  <si>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</si>
  <si>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</si>
  <si>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</si>
  <si>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</si>
  <si>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</si>
  <si>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</si>
  <si>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</si>
  <si>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</si>
  <si>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</si>
  <si>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</si>
  <si>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</si>
  <si>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</si>
  <si>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</si>
  <si>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</si>
  <si>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</si>
  <si>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</si>
  <si>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</si>
  <si>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</si>
  <si>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</si>
  <si>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</si>
  <si>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</si>
  <si>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</si>
  <si>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</si>
  <si>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</si>
  <si>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</si>
  <si>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</si>
  <si>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</si>
  <si>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</si>
  <si>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31762971</t>
  </si>
  <si>
    <t>МКУ "ЖКХ МО Староуткинск"</t>
  </si>
  <si>
    <t>6684046604</t>
  </si>
  <si>
    <t>31767361</t>
  </si>
  <si>
    <t>МКУ ЖКХ Калиновского сельского поселения</t>
  </si>
  <si>
    <t>6683023210</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</si>
  <si>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</si>
  <si>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</si>
  <si>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</si>
  <si>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</si>
  <si>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</si>
  <si>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</si>
  <si>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</si>
  <si>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</si>
  <si>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</si>
  <si>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</si>
  <si>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</si>
  <si>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</si>
  <si>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</si>
  <si>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</si>
  <si>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</si>
  <si>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</si>
  <si>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"ТСО МО Богданович"</t>
  </si>
  <si>
    <t>6633028188</t>
  </si>
  <si>
    <t>31768507</t>
  </si>
  <si>
    <t>МУП "ТеплоМагистраль"</t>
  </si>
  <si>
    <t>6617031264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</si>
  <si>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</si>
  <si>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</si>
  <si>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</si>
  <si>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</si>
  <si>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</si>
  <si>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</si>
  <si>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</si>
  <si>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</si>
  <si>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</si>
  <si>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</si>
  <si>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</si>
  <si>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</si>
  <si>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31772599</t>
  </si>
  <si>
    <t>МУП "Теплоснаб"</t>
  </si>
  <si>
    <t>6677018684</t>
  </si>
  <si>
    <t>31171996</t>
  </si>
  <si>
    <t>МУП "Теплоснабжение" Белоярского городского округа</t>
  </si>
  <si>
    <t>6683014430</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</si>
  <si>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</si>
  <si>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</si>
  <si>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</si>
  <si>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</si>
  <si>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</si>
  <si>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</si>
  <si>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</si>
  <si>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</si>
  <si>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</si>
  <si>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</si>
  <si>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</si>
  <si>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муниципального округа "Верхнесалдинские коммунальные системы"</t>
  </si>
  <si>
    <t>6623144562</t>
  </si>
  <si>
    <t>31775892</t>
  </si>
  <si>
    <t>МУП КГО "Коммунальный сервис"</t>
  </si>
  <si>
    <t>6612059516</t>
  </si>
  <si>
    <t>30982441</t>
  </si>
  <si>
    <t>МУП Тавдинского муниципального округа "Тавдинские инженерные системы", г. Тавда</t>
  </si>
  <si>
    <t>6676005900</t>
  </si>
  <si>
    <t>26479524</t>
  </si>
  <si>
    <t>МУП ШМО "Сылвинское жилищно-коммунальное хозяйство"</t>
  </si>
  <si>
    <t>6625047010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</si>
  <si>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</si>
  <si>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</si>
  <si>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</si>
  <si>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</si>
  <si>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</si>
  <si>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</si>
  <si>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</si>
  <si>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</si>
  <si>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</si>
  <si>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</si>
  <si>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</si>
  <si>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</si>
  <si>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</si>
  <si>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</si>
  <si>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</si>
  <si>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</si>
  <si>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</si>
  <si>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</si>
  <si>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</si>
  <si>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</si>
  <si>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</si>
  <si>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</si>
  <si>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</si>
  <si>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</si>
  <si>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</si>
  <si>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</si>
  <si>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</si>
  <si>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</si>
  <si>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</si>
  <si>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</si>
  <si>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</si>
  <si>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</si>
  <si>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</si>
  <si>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</si>
  <si>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</si>
  <si>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</si>
  <si>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</si>
  <si>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</si>
  <si>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</si>
  <si>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</si>
  <si>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</si>
  <si>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муниципального округа</t>
  </si>
  <si>
    <t>6603023506</t>
  </si>
  <si>
    <t>06-04-2010 00:00:00</t>
  </si>
  <si>
    <t>30354061</t>
  </si>
  <si>
    <t>Муниципальное предприятие Муниципального образования город Алапаевск "Энерготепло", г. Алапаевск</t>
  </si>
  <si>
    <t>6677008284</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</si>
  <si>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</si>
  <si>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</si>
  <si>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</si>
  <si>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</si>
  <si>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</si>
  <si>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</si>
  <si>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</si>
  <si>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</si>
  <si>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</si>
  <si>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</si>
  <si>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</si>
  <si>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</si>
  <si>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</si>
  <si>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</si>
  <si>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</si>
  <si>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</si>
  <si>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</si>
  <si>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</si>
  <si>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</si>
  <si>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</si>
  <si>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</si>
  <si>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</si>
  <si>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</si>
  <si>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</si>
  <si>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</si>
  <si>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</si>
  <si>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</si>
  <si>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</si>
  <si>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</si>
  <si>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</si>
  <si>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</si>
  <si>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</si>
  <si>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</si>
  <si>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</si>
  <si>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</si>
  <si>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</si>
  <si>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</si>
  <si>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</si>
  <si>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</si>
  <si>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</si>
  <si>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</si>
  <si>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</si>
  <si>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</si>
  <si>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663901001</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</si>
  <si>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</si>
  <si>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</si>
  <si>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</si>
  <si>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</si>
  <si>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</si>
  <si>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</si>
  <si>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</si>
  <si>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</si>
  <si>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</si>
  <si>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</si>
  <si>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</si>
  <si>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</si>
  <si>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</si>
  <si>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</si>
  <si>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</si>
  <si>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</si>
  <si>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</si>
  <si>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</si>
  <si>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</si>
  <si>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</si>
  <si>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</si>
  <si>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</si>
  <si>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</si>
  <si>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</si>
  <si>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</si>
  <si>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</si>
  <si>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</si>
  <si>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</si>
  <si>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</si>
  <si>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</si>
  <si>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</si>
  <si>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</si>
  <si>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</si>
  <si>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</si>
  <si>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</si>
  <si>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</si>
  <si>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</si>
  <si>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</si>
  <si>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</si>
  <si>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</si>
  <si>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</si>
  <si>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</si>
  <si>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</si>
  <si>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</si>
  <si>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</si>
  <si>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</si>
  <si>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</si>
  <si>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</si>
  <si>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</si>
  <si>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</si>
  <si>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</si>
  <si>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</si>
  <si>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</si>
  <si>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</si>
  <si>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</si>
  <si>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</si>
  <si>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</si>
  <si>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</si>
  <si>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</si>
  <si>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</si>
  <si>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</si>
  <si>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</si>
  <si>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</si>
  <si>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</si>
  <si>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</si>
  <si>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</si>
  <si>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</si>
  <si>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</si>
  <si>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</si>
  <si>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</si>
  <si>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</si>
  <si>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</si>
  <si>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</si>
  <si>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</si>
  <si>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</si>
  <si>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</si>
  <si>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</si>
  <si>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</si>
  <si>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</si>
  <si>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муниципального округа, г. Невьянск</t>
  </si>
  <si>
    <t>6621018403</t>
  </si>
  <si>
    <t>13-07-2011 00:00:00</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</si>
  <si>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</si>
  <si>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</si>
  <si>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</si>
  <si>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</si>
  <si>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</si>
  <si>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</si>
  <si>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</si>
  <si>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</si>
  <si>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</si>
  <si>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</si>
  <si>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</si>
  <si>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</si>
  <si>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</si>
  <si>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</si>
  <si>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</si>
  <si>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</si>
  <si>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</si>
  <si>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</si>
  <si>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</si>
  <si>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</si>
  <si>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</si>
  <si>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</si>
  <si>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</si>
  <si>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</si>
  <si>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</si>
  <si>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</si>
  <si>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</si>
  <si>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</si>
  <si>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</si>
  <si>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</si>
  <si>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муниципального округа "Теплотехника", п. Арти</t>
  </si>
  <si>
    <t>6636006383</t>
  </si>
  <si>
    <t>27554195</t>
  </si>
  <si>
    <t>Муниципальное унитарное предприятие Качканарского муниципального округа «Городские энергосистемы», г.Качканар</t>
  </si>
  <si>
    <t>6615015316</t>
  </si>
  <si>
    <t>01-11-2011 00:00:00</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</si>
  <si>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</si>
  <si>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</si>
  <si>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</si>
  <si>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</si>
  <si>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</si>
  <si>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</si>
  <si>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</si>
  <si>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</si>
  <si>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муниципального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</si>
  <si>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</si>
  <si>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</si>
  <si>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</si>
  <si>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</si>
  <si>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</si>
  <si>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</si>
  <si>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</si>
  <si>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</si>
  <si>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</si>
  <si>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</si>
  <si>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</si>
  <si>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</si>
  <si>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</si>
  <si>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</si>
  <si>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</si>
  <si>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</si>
  <si>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</si>
  <si>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</si>
  <si>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</si>
  <si>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</si>
  <si>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26359741</t>
  </si>
  <si>
    <t>Муниципальное унитарное предприятие жилищно-коммунального хозяйства "Двуреченское"</t>
  </si>
  <si>
    <t>6652007232</t>
  </si>
  <si>
    <t>28-03-1994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</si>
  <si>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</si>
  <si>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</si>
  <si>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</si>
  <si>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</si>
  <si>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</si>
  <si>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</si>
  <si>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</si>
  <si>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</si>
  <si>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</si>
  <si>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</si>
  <si>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</si>
  <si>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</si>
  <si>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</si>
  <si>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</si>
  <si>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</si>
  <si>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</si>
  <si>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</si>
  <si>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</si>
  <si>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</si>
  <si>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</si>
  <si>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</si>
  <si>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</si>
  <si>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</si>
  <si>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</si>
  <si>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</si>
  <si>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</si>
  <si>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</si>
  <si>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</si>
  <si>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</si>
  <si>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</si>
  <si>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</si>
  <si>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</si>
  <si>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</si>
  <si>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муниципального округа, п.Ачит</t>
  </si>
  <si>
    <t>6637000320</t>
  </si>
  <si>
    <t>13-05-1999 00:00:00</t>
  </si>
  <si>
    <t>26479187</t>
  </si>
  <si>
    <t>Муниципальное унитарное предприятие жилищно-коммунальных услуг р.п.Бисерть, п.Бисерть</t>
  </si>
  <si>
    <t>6646014785</t>
  </si>
  <si>
    <t>664601001</t>
  </si>
  <si>
    <t>28275696</t>
  </si>
  <si>
    <t>Муниципальное унитарное предприятие муниципального округа Заречный "Теплоцентраль", г. Заречный</t>
  </si>
  <si>
    <t>6683003870</t>
  </si>
  <si>
    <t>14-10-2013 00:00:00</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</si>
  <si>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</si>
  <si>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</si>
  <si>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</si>
  <si>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</si>
  <si>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</si>
  <si>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</si>
  <si>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</si>
  <si>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</si>
  <si>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</si>
  <si>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</si>
  <si>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</si>
  <si>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</si>
  <si>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</si>
  <si>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</si>
  <si>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</si>
  <si>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</si>
  <si>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</si>
  <si>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</si>
  <si>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</si>
  <si>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</si>
  <si>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</si>
  <si>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</si>
  <si>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</si>
  <si>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</si>
  <si>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</si>
  <si>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</si>
  <si>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</si>
  <si>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</si>
  <si>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</si>
  <si>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</si>
  <si>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</si>
  <si>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</si>
  <si>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</si>
  <si>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</si>
  <si>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28106478</t>
  </si>
  <si>
    <t>ООО "АтомТеплоЭлектроСеть" - Зареченский филиал ООО "АтомТеплоЭлектроСеть"</t>
  </si>
  <si>
    <t>7705923730</t>
  </si>
  <si>
    <t>663943001</t>
  </si>
  <si>
    <t>31771990</t>
  </si>
  <si>
    <t>ООО "Березовские тепловые сети"</t>
  </si>
  <si>
    <t>6678139473</t>
  </si>
  <si>
    <t>31648177</t>
  </si>
  <si>
    <t>ООО "Богдановичская Генерирующая Компания"</t>
  </si>
  <si>
    <t>6633029960</t>
  </si>
  <si>
    <t>31237649</t>
  </si>
  <si>
    <t>ООО "ВодоКаналСервис"</t>
  </si>
  <si>
    <t>6686109610</t>
  </si>
  <si>
    <t>31817670</t>
  </si>
  <si>
    <t>ООО "Газовая сервисная компания"</t>
  </si>
  <si>
    <t>6658567008</t>
  </si>
  <si>
    <t>30985686</t>
  </si>
  <si>
    <t>ООО "Гефест", г.Верхотурье</t>
  </si>
  <si>
    <t>6680007361</t>
  </si>
  <si>
    <t>31449842</t>
  </si>
  <si>
    <t>ООО "Горноуральская Компания Теплоресурс"</t>
  </si>
  <si>
    <t>6623135261</t>
  </si>
  <si>
    <t>31768361</t>
  </si>
  <si>
    <t>ООО "Городской застройщик"</t>
  </si>
  <si>
    <t>6670524547</t>
  </si>
  <si>
    <t>30930477</t>
  </si>
  <si>
    <t>ООО "Зареченское"</t>
  </si>
  <si>
    <t>6633025490</t>
  </si>
  <si>
    <t>31322632</t>
  </si>
  <si>
    <t>ООО "ИНЕКТЕПЛО"</t>
  </si>
  <si>
    <t>6685159304</t>
  </si>
  <si>
    <t>30984337</t>
  </si>
  <si>
    <t>ООО "Источник", г. Екатеринбург</t>
  </si>
  <si>
    <t>6685092064</t>
  </si>
  <si>
    <t>31727699</t>
  </si>
  <si>
    <t>ООО "КИТ Екатеринбург"</t>
  </si>
  <si>
    <t>6671261763</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</si>
  <si>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</si>
  <si>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</si>
  <si>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</si>
  <si>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</si>
  <si>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</si>
  <si>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</si>
  <si>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</si>
  <si>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</si>
  <si>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</si>
  <si>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</si>
  <si>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</si>
  <si>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31765770</t>
  </si>
  <si>
    <t>ООО "Мастерпром"</t>
  </si>
  <si>
    <t>6685149793</t>
  </si>
  <si>
    <t>31370396</t>
  </si>
  <si>
    <t>ООО "Метод"</t>
  </si>
  <si>
    <t>6678058369</t>
  </si>
  <si>
    <t>31156225</t>
  </si>
  <si>
    <t>ООО "Монди Арамиль", г. Арамиль</t>
  </si>
  <si>
    <t>6685148334</t>
  </si>
  <si>
    <t>31423255</t>
  </si>
  <si>
    <t>ООО "Новые Технологии"</t>
  </si>
  <si>
    <t>6672315059</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</si>
  <si>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</si>
  <si>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</si>
  <si>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</si>
  <si>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</si>
  <si>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</si>
  <si>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</si>
  <si>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</si>
  <si>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</si>
  <si>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</si>
  <si>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</si>
  <si>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</si>
  <si>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</si>
  <si>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</si>
  <si>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</si>
  <si>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31342443</t>
  </si>
  <si>
    <t>ООО "Полевская коммунальная компания Энерго"</t>
  </si>
  <si>
    <t>6626020935</t>
  </si>
  <si>
    <t>31348637</t>
  </si>
  <si>
    <t>ООО "Проводник тепла"</t>
  </si>
  <si>
    <t>6671093678</t>
  </si>
  <si>
    <t>31779629</t>
  </si>
  <si>
    <t>ООО "Производственное жилищно-коммунальное управление поселка Динас"</t>
  </si>
  <si>
    <t>6684047365</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</si>
  <si>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</si>
  <si>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</si>
  <si>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</si>
  <si>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</si>
  <si>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</si>
  <si>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</si>
  <si>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</si>
  <si>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</si>
  <si>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</si>
  <si>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</si>
  <si>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</si>
  <si>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</si>
  <si>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</si>
  <si>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</si>
  <si>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</si>
  <si>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</si>
  <si>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</si>
  <si>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</si>
  <si>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</si>
  <si>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</si>
  <si>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</si>
  <si>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</si>
  <si>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</si>
  <si>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</si>
  <si>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31765765</t>
  </si>
  <si>
    <t>ООО "Стройинвест"</t>
  </si>
  <si>
    <t>6679108968</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</si>
  <si>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</si>
  <si>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</si>
  <si>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</si>
  <si>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</si>
  <si>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</si>
  <si>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</si>
  <si>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</si>
  <si>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</si>
  <si>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</si>
  <si>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</si>
  <si>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</si>
  <si>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</si>
  <si>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</si>
  <si>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</si>
  <si>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</si>
  <si>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</si>
  <si>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</si>
  <si>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</si>
  <si>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</si>
  <si>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</si>
  <si>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</si>
  <si>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</si>
  <si>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</si>
  <si>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</si>
  <si>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</si>
  <si>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</si>
  <si>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</si>
  <si>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</si>
  <si>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</si>
  <si>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</si>
  <si>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</si>
  <si>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</si>
  <si>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</si>
  <si>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</si>
  <si>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</si>
  <si>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</si>
  <si>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</si>
  <si>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</si>
  <si>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</si>
  <si>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</si>
  <si>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</si>
  <si>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</si>
  <si>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</si>
  <si>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</si>
  <si>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</si>
  <si>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</si>
  <si>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</si>
  <si>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</si>
  <si>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</si>
  <si>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</si>
  <si>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</si>
  <si>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</si>
  <si>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</si>
  <si>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</si>
  <si>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</si>
  <si>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</si>
  <si>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</si>
  <si>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</si>
  <si>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31573848</t>
  </si>
  <si>
    <t>ООО "Чистая вода"</t>
  </si>
  <si>
    <t>6679127872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</si>
  <si>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</si>
  <si>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</si>
  <si>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</si>
  <si>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</si>
  <si>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</si>
  <si>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</si>
  <si>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</si>
  <si>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</si>
  <si>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</si>
  <si>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</si>
  <si>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</si>
  <si>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</si>
  <si>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</si>
  <si>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</si>
  <si>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</si>
  <si>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</si>
  <si>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</si>
  <si>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</si>
  <si>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</si>
  <si>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</si>
  <si>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</si>
  <si>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</si>
  <si>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</si>
  <si>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</si>
  <si>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</si>
  <si>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</si>
  <si>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</si>
  <si>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</si>
  <si>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</si>
  <si>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</si>
  <si>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</si>
  <si>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</si>
  <si>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</si>
  <si>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</si>
  <si>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</si>
  <si>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</si>
  <si>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</si>
  <si>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</si>
  <si>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</si>
  <si>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</si>
  <si>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</si>
  <si>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</si>
  <si>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</si>
  <si>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</si>
  <si>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</si>
  <si>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</si>
  <si>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</si>
  <si>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31834718</t>
  </si>
  <si>
    <t>ООО «Ресурс Энерго»</t>
  </si>
  <si>
    <t>6681013537</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</si>
  <si>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</si>
  <si>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</si>
  <si>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</si>
  <si>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</si>
  <si>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</si>
  <si>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</si>
  <si>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</si>
  <si>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</si>
  <si>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</si>
  <si>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</si>
  <si>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</si>
  <si>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</si>
  <si>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</si>
  <si>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</si>
  <si>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</si>
  <si>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</si>
  <si>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</si>
  <si>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</si>
  <si>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</si>
  <si>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</si>
  <si>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</si>
  <si>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</si>
  <si>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</si>
  <si>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</si>
  <si>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</si>
  <si>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</si>
  <si>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</si>
  <si>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</si>
  <si>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</si>
  <si>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</si>
  <si>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</si>
  <si>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</si>
  <si>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</si>
  <si>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</si>
  <si>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</si>
  <si>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</si>
  <si>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</si>
  <si>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</si>
  <si>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</si>
  <si>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</si>
  <si>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</si>
  <si>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</si>
  <si>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</si>
  <si>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</si>
  <si>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</si>
  <si>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</si>
  <si>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</si>
  <si>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</si>
  <si>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</si>
  <si>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</si>
  <si>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</si>
  <si>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</si>
  <si>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</si>
  <si>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</si>
  <si>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</si>
  <si>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</si>
  <si>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</si>
  <si>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</si>
  <si>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</si>
  <si>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</si>
  <si>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</si>
  <si>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</si>
  <si>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</si>
  <si>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</si>
  <si>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</si>
  <si>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</si>
  <si>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</si>
  <si>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</si>
  <si>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</si>
  <si>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</si>
  <si>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</si>
  <si>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</si>
  <si>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</si>
  <si>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</si>
  <si>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</si>
  <si>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</si>
  <si>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</si>
  <si>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</si>
  <si>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22-01-2002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</si>
  <si>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</si>
  <si>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</si>
  <si>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</si>
  <si>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</si>
  <si>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</si>
  <si>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</si>
  <si>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</si>
  <si>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</si>
  <si>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</si>
  <si>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</si>
  <si>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</si>
  <si>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</si>
  <si>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</si>
  <si>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</si>
  <si>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</si>
  <si>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</si>
  <si>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</si>
  <si>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</si>
  <si>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</si>
  <si>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</si>
  <si>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</si>
  <si>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</si>
  <si>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</si>
  <si>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</si>
  <si>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</si>
  <si>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</si>
  <si>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</si>
  <si>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</si>
  <si>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</si>
  <si>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</si>
  <si>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</si>
  <si>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</si>
  <si>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</si>
  <si>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</si>
  <si>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</si>
  <si>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</si>
  <si>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</si>
  <si>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</si>
  <si>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</si>
  <si>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</si>
  <si>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</si>
  <si>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</si>
  <si>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</si>
  <si>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</si>
  <si>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</si>
  <si>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</si>
  <si>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</si>
  <si>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</si>
  <si>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</si>
  <si>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</si>
  <si>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</si>
  <si>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</si>
  <si>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</si>
  <si>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</si>
  <si>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</si>
  <si>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</si>
  <si>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</si>
  <si>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</si>
  <si>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</si>
  <si>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</si>
  <si>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</si>
  <si>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</si>
  <si>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</si>
  <si>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</si>
  <si>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</si>
  <si>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</si>
  <si>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</si>
  <si>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</si>
  <si>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</si>
  <si>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</si>
  <si>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</si>
  <si>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</si>
  <si>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</si>
  <si>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</si>
  <si>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</si>
  <si>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</si>
  <si>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</si>
  <si>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</si>
  <si>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</si>
  <si>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</si>
  <si>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</si>
  <si>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</si>
  <si>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</si>
  <si>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</si>
  <si>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</si>
  <si>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</si>
  <si>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</si>
  <si>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</si>
  <si>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</si>
  <si>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</si>
  <si>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</si>
  <si>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</si>
  <si>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</si>
  <si>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</si>
  <si>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</si>
  <si>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</si>
  <si>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</si>
  <si>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</si>
  <si>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</si>
  <si>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</si>
  <si>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</si>
  <si>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</si>
  <si>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</si>
  <si>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</si>
  <si>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</si>
  <si>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</si>
  <si>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</si>
  <si>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</si>
  <si>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</si>
  <si>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</si>
  <si>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</si>
  <si>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</si>
  <si>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</si>
  <si>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</si>
  <si>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</si>
  <si>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</si>
  <si>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</si>
  <si>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</si>
  <si>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</si>
  <si>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</si>
  <si>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</si>
  <si>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</si>
  <si>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</si>
  <si>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</si>
  <si>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</si>
  <si>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</si>
  <si>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</si>
  <si>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</si>
  <si>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</si>
  <si>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</si>
  <si>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</si>
  <si>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</si>
  <si>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</si>
  <si>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</si>
  <si>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</si>
  <si>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</si>
  <si>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</si>
  <si>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</si>
  <si>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</si>
  <si>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</si>
  <si>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</si>
  <si>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</si>
  <si>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</si>
  <si>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</si>
  <si>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</si>
  <si>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</si>
  <si>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</si>
  <si>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</si>
  <si>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</si>
  <si>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</si>
  <si>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</si>
  <si>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</si>
  <si>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</si>
  <si>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</si>
  <si>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</si>
  <si>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</si>
  <si>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</si>
  <si>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</si>
  <si>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</si>
  <si>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</si>
  <si>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</si>
  <si>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</si>
  <si>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</si>
  <si>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</si>
  <si>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</si>
  <si>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</si>
  <si>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</si>
  <si>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</si>
  <si>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</si>
  <si>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</si>
  <si>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</si>
  <si>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</si>
  <si>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</si>
  <si>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</si>
  <si>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</si>
  <si>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</si>
  <si>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</si>
  <si>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</si>
  <si>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</si>
  <si>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</si>
  <si>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</si>
  <si>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</si>
  <si>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</si>
  <si>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</si>
  <si>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</si>
  <si>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</si>
  <si>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</si>
  <si>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</si>
  <si>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</si>
  <si>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</si>
  <si>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</si>
  <si>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</si>
  <si>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</si>
  <si>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</si>
  <si>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</si>
  <si>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</si>
  <si>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</si>
  <si>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</si>
  <si>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</si>
  <si>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</si>
  <si>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</si>
  <si>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</si>
  <si>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</si>
  <si>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</si>
  <si>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</si>
  <si>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</si>
  <si>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</si>
  <si>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</si>
  <si>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</si>
  <si>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</si>
  <si>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</si>
  <si>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</si>
  <si>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</si>
  <si>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</si>
  <si>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</si>
  <si>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</si>
  <si>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</si>
  <si>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</si>
  <si>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</si>
  <si>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</si>
  <si>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</si>
  <si>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</si>
  <si>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</si>
  <si>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</si>
  <si>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</si>
  <si>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</si>
  <si>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</si>
  <si>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</si>
  <si>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</si>
  <si>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</si>
  <si>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</si>
  <si>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</si>
  <si>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</si>
  <si>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</si>
  <si>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</si>
  <si>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</si>
  <si>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</si>
  <si>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</si>
  <si>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</si>
  <si>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</si>
  <si>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</si>
  <si>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</si>
  <si>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</si>
  <si>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</si>
  <si>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</si>
  <si>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</si>
  <si>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</si>
  <si>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</si>
  <si>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</si>
  <si>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</si>
  <si>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</si>
  <si>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</si>
  <si>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</si>
  <si>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</si>
  <si>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</si>
  <si>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</si>
  <si>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</si>
  <si>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</si>
  <si>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</si>
  <si>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</si>
  <si>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</si>
  <si>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</si>
  <si>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</si>
  <si>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</si>
  <si>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</si>
  <si>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</si>
  <si>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</si>
  <si>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</si>
  <si>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</si>
  <si>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</si>
  <si>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</si>
  <si>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</si>
  <si>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</si>
  <si>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</si>
  <si>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</si>
  <si>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</si>
  <si>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</si>
  <si>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</si>
  <si>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</si>
  <si>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</si>
  <si>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</si>
  <si>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</si>
  <si>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</si>
  <si>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</si>
  <si>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</si>
  <si>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</si>
  <si>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</si>
  <si>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</si>
  <si>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</si>
  <si>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</si>
  <si>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</si>
  <si>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12-05-2014 00:00:00</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</si>
  <si>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</si>
  <si>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</si>
  <si>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</si>
  <si>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</si>
  <si>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</si>
  <si>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</si>
  <si>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</si>
  <si>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</si>
  <si>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</si>
  <si>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</si>
  <si>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</si>
  <si>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</si>
  <si>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</si>
  <si>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</si>
  <si>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</si>
  <si>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</si>
  <si>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</si>
  <si>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</si>
  <si>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</si>
  <si>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</si>
  <si>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</si>
  <si>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</si>
  <si>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</si>
  <si>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</si>
  <si>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</si>
  <si>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</si>
  <si>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</si>
  <si>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</si>
  <si>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</si>
  <si>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</si>
  <si>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</si>
  <si>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</si>
  <si>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</si>
  <si>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</si>
  <si>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</si>
  <si>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</si>
  <si>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</si>
  <si>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</si>
  <si>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</si>
  <si>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</si>
  <si>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</si>
  <si>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</si>
  <si>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</si>
  <si>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</si>
  <si>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</si>
  <si>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</si>
  <si>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</si>
  <si>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666201001</t>
  </si>
  <si>
    <t>30-06-2014 00:00:00</t>
  </si>
  <si>
    <t>26851156</t>
  </si>
  <si>
    <t>Общество с ограниченной ответственностью "Уралкотел", г.Екатеринбург</t>
  </si>
  <si>
    <t>6658369655</t>
  </si>
  <si>
    <t>30851292</t>
  </si>
  <si>
    <t>Общество с ограниченной ответственностью "Уралремстройинвест"</t>
  </si>
  <si>
    <t>6613008289</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</si>
  <si>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</si>
  <si>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</si>
  <si>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</si>
  <si>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</si>
  <si>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</si>
  <si>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</si>
  <si>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</si>
  <si>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</si>
  <si>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</si>
  <si>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</si>
  <si>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</si>
  <si>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</si>
  <si>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</si>
  <si>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</si>
  <si>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</si>
  <si>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</si>
  <si>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</si>
  <si>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</si>
  <si>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</si>
  <si>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</si>
  <si>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</si>
  <si>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</si>
  <si>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</si>
  <si>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</si>
  <si>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</si>
  <si>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</si>
  <si>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</si>
  <si>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</si>
  <si>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</si>
  <si>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</si>
  <si>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</si>
  <si>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</si>
  <si>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</si>
  <si>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</si>
  <si>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</si>
  <si>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</si>
  <si>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</si>
  <si>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</si>
  <si>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</si>
  <si>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</si>
  <si>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</si>
  <si>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</si>
  <si>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</si>
  <si>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</si>
  <si>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</si>
  <si>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</si>
  <si>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</si>
  <si>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</si>
  <si>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</si>
  <si>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</si>
  <si>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</si>
  <si>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</si>
  <si>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</si>
  <si>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</si>
  <si>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</si>
  <si>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</si>
  <si>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</si>
  <si>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</si>
  <si>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</si>
  <si>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</si>
  <si>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</si>
  <si>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</si>
  <si>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</si>
  <si>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</si>
  <si>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</si>
  <si>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</si>
  <si>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</si>
  <si>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</si>
  <si>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</si>
  <si>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</si>
  <si>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</si>
  <si>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</si>
  <si>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</si>
  <si>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</si>
  <si>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</si>
  <si>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</si>
  <si>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</si>
  <si>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</si>
  <si>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</si>
  <si>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</si>
  <si>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</si>
  <si>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</si>
  <si>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</si>
  <si>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</si>
  <si>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</si>
  <si>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</si>
  <si>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</si>
  <si>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</si>
  <si>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</si>
  <si>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</si>
  <si>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</si>
  <si>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</si>
  <si>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</si>
  <si>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</si>
  <si>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</si>
  <si>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</si>
  <si>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</si>
  <si>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</si>
  <si>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</si>
  <si>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</si>
  <si>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</si>
  <si>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</si>
  <si>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</si>
  <si>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</si>
  <si>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</si>
  <si>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</si>
  <si>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</si>
  <si>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</si>
  <si>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</si>
  <si>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</si>
  <si>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</si>
  <si>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</si>
  <si>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</si>
  <si>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</si>
  <si>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</si>
  <si>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</si>
  <si>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</si>
  <si>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</si>
  <si>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</si>
  <si>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</si>
  <si>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</si>
  <si>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</si>
  <si>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</si>
  <si>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</si>
  <si>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</si>
  <si>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</si>
  <si>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</si>
  <si>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</si>
  <si>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</si>
  <si>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</si>
  <si>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</si>
  <si>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</si>
  <si>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</si>
  <si>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</si>
  <si>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</si>
  <si>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</si>
  <si>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</si>
  <si>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</si>
  <si>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</si>
  <si>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</si>
  <si>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</si>
  <si>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</si>
  <si>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</si>
  <si>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</si>
  <si>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</si>
  <si>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</si>
  <si>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</si>
  <si>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</si>
  <si>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</si>
  <si>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</si>
  <si>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</si>
  <si>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</si>
  <si>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</si>
  <si>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</si>
  <si>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</si>
  <si>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</si>
  <si>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</si>
  <si>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</si>
  <si>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</si>
  <si>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</si>
  <si>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</si>
  <si>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</si>
  <si>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</si>
  <si>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</si>
  <si>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</si>
  <si>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</si>
  <si>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</si>
  <si>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</si>
  <si>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</si>
  <si>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</si>
  <si>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</si>
  <si>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</si>
  <si>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</si>
  <si>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</si>
  <si>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</si>
  <si>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</si>
  <si>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</si>
  <si>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</si>
  <si>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</si>
  <si>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</si>
  <si>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</si>
  <si>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</si>
  <si>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</si>
  <si>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</si>
  <si>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</si>
  <si>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26322598</t>
  </si>
  <si>
    <t>ПАО "Каменск-Уральский металлургический завод", г.Каменск-Уральский</t>
  </si>
  <si>
    <t>6665002150</t>
  </si>
  <si>
    <t>26357500</t>
  </si>
  <si>
    <t>ПАО "Новолипецкий металлургический комбинат"</t>
  </si>
  <si>
    <t>4823006703</t>
  </si>
  <si>
    <t>482301001</t>
  </si>
  <si>
    <t>26823128</t>
  </si>
  <si>
    <t>ПАО "ЭЛ5-Энерго"</t>
  </si>
  <si>
    <t>6671156423</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</si>
  <si>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</si>
  <si>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</si>
  <si>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</si>
  <si>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</si>
  <si>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</si>
  <si>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</si>
  <si>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</si>
  <si>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</si>
  <si>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</si>
  <si>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</si>
  <si>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</si>
  <si>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</si>
  <si>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</si>
  <si>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</si>
  <si>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</si>
  <si>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</si>
  <si>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</si>
  <si>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</si>
  <si>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</si>
  <si>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</si>
  <si>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</si>
  <si>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</si>
  <si>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</si>
  <si>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</si>
  <si>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</si>
  <si>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</si>
  <si>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</si>
  <si>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</si>
  <si>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</si>
  <si>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</si>
  <si>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</si>
  <si>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</si>
  <si>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</si>
  <si>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</si>
  <si>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</si>
  <si>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</si>
  <si>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</si>
  <si>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</si>
  <si>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</si>
  <si>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</si>
  <si>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</si>
  <si>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</si>
  <si>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</si>
  <si>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</si>
  <si>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</si>
  <si>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</si>
  <si>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</si>
  <si>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</si>
  <si>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</si>
  <si>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</si>
  <si>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</si>
  <si>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</si>
  <si>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</si>
  <si>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</si>
  <si>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</si>
  <si>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</si>
  <si>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</si>
  <si>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</si>
  <si>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</si>
  <si>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</si>
  <si>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31775887</t>
  </si>
  <si>
    <t>Товарищество собственников жилья «Де Геннин»</t>
  </si>
  <si>
    <t>6678091172</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</si>
  <si>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</si>
  <si>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</si>
  <si>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</si>
  <si>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</si>
  <si>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</si>
  <si>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</si>
  <si>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</si>
  <si>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</si>
  <si>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</si>
  <si>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</si>
  <si>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</si>
  <si>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</si>
  <si>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</si>
  <si>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</si>
  <si>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</si>
  <si>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</si>
  <si>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</si>
  <si>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</si>
  <si>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</si>
  <si>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</si>
  <si>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</si>
  <si>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</si>
  <si>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</si>
  <si>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</si>
  <si>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</si>
  <si>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</si>
  <si>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</si>
  <si>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</si>
  <si>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</si>
  <si>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</si>
  <si>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</si>
  <si>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</si>
  <si>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</si>
  <si>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</si>
  <si>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</si>
  <si>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</si>
  <si>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</si>
  <si>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</si>
  <si>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</si>
  <si>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</si>
  <si>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</si>
  <si>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</si>
  <si>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</si>
  <si>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</si>
  <si>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</si>
  <si>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</si>
  <si>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</si>
  <si>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</si>
  <si>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</si>
  <si>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</si>
  <si>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</si>
  <si>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</si>
  <si>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</si>
  <si>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</si>
  <si>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</si>
  <si>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</si>
  <si>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</si>
  <si>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</si>
  <si>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</si>
  <si>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</si>
  <si>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</si>
  <si>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</si>
  <si>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</si>
  <si>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</si>
  <si>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</si>
  <si>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</si>
  <si>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</si>
  <si>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</si>
  <si>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</si>
  <si>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</si>
  <si>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</si>
  <si>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</si>
  <si>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</si>
  <si>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</si>
  <si>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</si>
  <si>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</si>
  <si>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</si>
  <si>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</si>
  <si>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</si>
  <si>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</si>
  <si>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</si>
  <si>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</si>
  <si>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</si>
  <si>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</si>
  <si>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</si>
  <si>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</si>
  <si>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</si>
  <si>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</si>
  <si>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</si>
  <si>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</si>
  <si>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</si>
  <si>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</si>
  <si>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</si>
  <si>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</si>
  <si>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</si>
  <si>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</si>
  <si>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</si>
  <si>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</si>
  <si>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</si>
  <si>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</si>
  <si>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</si>
  <si>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</si>
  <si>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</si>
  <si>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</si>
  <si>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</si>
  <si>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</si>
  <si>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</si>
  <si>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</si>
  <si>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</si>
  <si>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</si>
  <si>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</si>
  <si>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</si>
  <si>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</si>
  <si>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</si>
  <si>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</si>
  <si>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</si>
  <si>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</si>
  <si>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</si>
  <si>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</si>
  <si>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</si>
  <si>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</si>
  <si>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</si>
  <si>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</si>
  <si>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</si>
  <si>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</si>
  <si>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</si>
  <si>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</si>
  <si>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</si>
  <si>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</si>
  <si>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</si>
  <si>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</si>
  <si>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</si>
  <si>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</si>
  <si>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</si>
  <si>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</si>
  <si>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</si>
  <si>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</si>
  <si>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</si>
  <si>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</si>
  <si>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</si>
  <si>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</si>
  <si>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</si>
  <si>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</si>
  <si>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</si>
  <si>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31803257</t>
  </si>
  <si>
    <t>МКУ "УТТО ОМС ТСП и ПУ"</t>
  </si>
  <si>
    <t>6676004470</t>
  </si>
  <si>
    <t>31601247</t>
  </si>
  <si>
    <t>МКУ Ачитского муниципального округа "Служба по работе с населением "Совет"</t>
  </si>
  <si>
    <t>6619026037</t>
  </si>
  <si>
    <t>31679555</t>
  </si>
  <si>
    <t>МКУ Кушвинского муниципального округа "Коммунальные сети"</t>
  </si>
  <si>
    <t>6681013505</t>
  </si>
  <si>
    <t>31738710</t>
  </si>
  <si>
    <t>МУП "Водоканал  г. Верхний Тагил"</t>
  </si>
  <si>
    <t>6682022397</t>
  </si>
  <si>
    <t>31762114</t>
  </si>
  <si>
    <t>МУП "Водоснабжение КГО"</t>
  </si>
  <si>
    <t>6612059330</t>
  </si>
  <si>
    <t>31349055</t>
  </si>
  <si>
    <t>МУП "Водоснабжение" Белоярского городского округа</t>
  </si>
  <si>
    <t>6683016043</t>
  </si>
  <si>
    <t>31750451</t>
  </si>
  <si>
    <t>МУП "Городские коммунальные системы муниципального округа Нижняя Салда"</t>
  </si>
  <si>
    <t>6623145171</t>
  </si>
  <si>
    <t>31020925</t>
  </si>
  <si>
    <t>МУП "ЖКХ пос.Буланаш"</t>
  </si>
  <si>
    <t>6677011181</t>
  </si>
  <si>
    <t>31563944</t>
  </si>
  <si>
    <t>МУП "Коммунальный комплекс"</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</si>
  <si>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</si>
  <si>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</si>
  <si>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</si>
  <si>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</si>
  <si>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</si>
  <si>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</si>
  <si>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</si>
  <si>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</si>
  <si>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</si>
  <si>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</si>
  <si>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</si>
  <si>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</si>
  <si>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</si>
  <si>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</si>
  <si>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</si>
  <si>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</si>
  <si>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</si>
  <si>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</si>
  <si>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</si>
  <si>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</si>
  <si>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АМО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</si>
  <si>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</si>
  <si>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</si>
  <si>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</si>
  <si>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</si>
  <si>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</si>
  <si>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</si>
  <si>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</si>
  <si>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</si>
  <si>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</si>
  <si>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</si>
  <si>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</si>
  <si>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</si>
  <si>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</si>
  <si>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31762197</t>
  </si>
  <si>
    <t>МУП РГО "Реж-водоканал"</t>
  </si>
  <si>
    <t>6677018518</t>
  </si>
  <si>
    <t>31558158</t>
  </si>
  <si>
    <t>МУП ШМО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</si>
  <si>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</si>
  <si>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</si>
  <si>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</si>
  <si>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</si>
  <si>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</si>
  <si>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муниципального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</si>
  <si>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</si>
  <si>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</si>
  <si>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</si>
  <si>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</si>
  <si>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</si>
  <si>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</si>
  <si>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</si>
  <si>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</si>
  <si>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</si>
  <si>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</si>
  <si>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</si>
  <si>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</si>
  <si>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</si>
  <si>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</si>
  <si>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</si>
  <si>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</si>
  <si>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МО 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</si>
  <si>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</si>
  <si>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</si>
  <si>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</si>
  <si>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</si>
  <si>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</si>
  <si>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</si>
  <si>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27823487</t>
  </si>
  <si>
    <t>Муниципальное унитарное предприятие "Невьянский водоканал" Невьянского муниципального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</si>
  <si>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</si>
  <si>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</si>
  <si>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</si>
  <si>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</si>
  <si>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</si>
  <si>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</si>
  <si>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</si>
  <si>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</si>
  <si>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</si>
  <si>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</si>
  <si>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</si>
  <si>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</si>
  <si>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</si>
  <si>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</si>
  <si>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</si>
  <si>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</si>
  <si>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</si>
  <si>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</si>
  <si>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</si>
  <si>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</si>
  <si>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</si>
  <si>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</si>
  <si>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</si>
  <si>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</si>
  <si>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</si>
  <si>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муниципального округа "Единый водоканал", г. Талица</t>
  </si>
  <si>
    <t>6633021351</t>
  </si>
  <si>
    <t>31-07-2014 00:00:00</t>
  </si>
  <si>
    <t>28149803</t>
  </si>
  <si>
    <t>Муниципальное унитарное предприятие жилищно-коммунального хозяйства "Водоканал", г. Туринск</t>
  </si>
  <si>
    <t>6676001670</t>
  </si>
  <si>
    <t>28941377</t>
  </si>
  <si>
    <t>Муниципальное унитарное предприятие муниципального округа Богданович "Водоканал", г. Богданович</t>
  </si>
  <si>
    <t>6633022877</t>
  </si>
  <si>
    <t>11-03-2015 00:00:00</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</si>
  <si>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</si>
  <si>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</si>
  <si>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</si>
  <si>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</si>
  <si>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</si>
  <si>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</si>
  <si>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</si>
  <si>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</si>
  <si>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</si>
  <si>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</si>
  <si>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</si>
  <si>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</si>
  <si>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</si>
  <si>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</si>
  <si>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</si>
  <si>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31750548</t>
  </si>
  <si>
    <t>ООО "РусЭнергоГарант"</t>
  </si>
  <si>
    <t>6678066553</t>
  </si>
  <si>
    <t>31316593</t>
  </si>
  <si>
    <t>ООО "Система"</t>
  </si>
  <si>
    <t>6685160162</t>
  </si>
  <si>
    <t>31529061</t>
  </si>
  <si>
    <t>ООО "Терра Груп"</t>
  </si>
  <si>
    <t>6658244536</t>
  </si>
  <si>
    <t>31433047</t>
  </si>
  <si>
    <t>ООО "Управляющая компания "Николин ключ"</t>
  </si>
  <si>
    <t>6672359507</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</si>
  <si>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</si>
  <si>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</si>
  <si>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</si>
  <si>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</si>
  <si>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</si>
  <si>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</si>
  <si>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</si>
  <si>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</si>
  <si>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</si>
  <si>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</si>
  <si>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</si>
  <si>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</si>
  <si>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</si>
  <si>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</si>
  <si>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</si>
  <si>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</si>
  <si>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</si>
  <si>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</si>
  <si>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</si>
  <si>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</si>
  <si>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</si>
  <si>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</si>
  <si>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</si>
  <si>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</si>
  <si>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</si>
  <si>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</si>
  <si>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</si>
  <si>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</si>
  <si>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</si>
  <si>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</si>
  <si>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</si>
  <si>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</si>
  <si>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</si>
  <si>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</si>
  <si>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</si>
  <si>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</si>
  <si>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</si>
  <si>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</si>
  <si>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</si>
  <si>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</si>
  <si>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</si>
  <si>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</si>
  <si>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</si>
  <si>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</si>
  <si>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</si>
  <si>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</si>
  <si>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</si>
  <si>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</si>
  <si>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</si>
  <si>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</si>
  <si>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</si>
  <si>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</si>
  <si>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</si>
  <si>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</si>
  <si>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</si>
  <si>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</si>
  <si>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</si>
  <si>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</si>
  <si>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</si>
  <si>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</si>
  <si>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</si>
  <si>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</si>
  <si>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</si>
  <si>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</si>
  <si>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</si>
  <si>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</si>
  <si>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</si>
  <si>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</si>
  <si>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</si>
  <si>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</si>
  <si>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</si>
  <si>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</si>
  <si>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</si>
  <si>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</si>
  <si>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</si>
  <si>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</si>
  <si>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</si>
  <si>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</si>
  <si>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</si>
  <si>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</si>
  <si>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</si>
  <si>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</si>
  <si>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</si>
  <si>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</si>
  <si>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</si>
  <si>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</si>
  <si>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</si>
  <si>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</si>
  <si>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</si>
  <si>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</si>
  <si>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</si>
  <si>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</si>
  <si>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</si>
  <si>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</si>
  <si>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</si>
  <si>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</si>
  <si>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</si>
  <si>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</si>
  <si>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</si>
  <si>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</si>
  <si>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</si>
  <si>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</si>
  <si>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муниципального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</si>
  <si>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</si>
  <si>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</si>
  <si>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</si>
  <si>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</si>
  <si>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</si>
  <si>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</si>
  <si>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</si>
  <si>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</si>
  <si>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</si>
  <si>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</si>
  <si>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</si>
  <si>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</si>
  <si>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</si>
  <si>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</si>
  <si>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</si>
  <si>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</si>
  <si>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</si>
  <si>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</si>
  <si>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</si>
  <si>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</si>
  <si>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</si>
  <si>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</si>
  <si>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</si>
  <si>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</si>
  <si>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</si>
  <si>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</si>
  <si>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</si>
  <si>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</si>
  <si>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31535140</t>
  </si>
  <si>
    <t>МУП "Водоотведение" Белоярский городской округ</t>
  </si>
  <si>
    <t>6683018241</t>
  </si>
  <si>
    <t>31348366</t>
  </si>
  <si>
    <t>МУП НГО «Сток»</t>
  </si>
  <si>
    <t>6680008809</t>
  </si>
  <si>
    <t>31357312</t>
  </si>
  <si>
    <t>ООО "АМБ-групп"</t>
  </si>
  <si>
    <t>6639016140</t>
  </si>
  <si>
    <t>31765759</t>
  </si>
  <si>
    <t>ООО "ЕУК ТГО"</t>
  </si>
  <si>
    <t>6683022992</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</si>
  <si>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</si>
  <si>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</si>
  <si>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</si>
  <si>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</si>
  <si>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</si>
  <si>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</si>
  <si>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</si>
  <si>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</si>
  <si>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</si>
  <si>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</si>
  <si>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</si>
  <si>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</si>
  <si>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</si>
  <si>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</si>
  <si>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</si>
  <si>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</si>
  <si>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</si>
  <si>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</si>
  <si>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</si>
  <si>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</si>
  <si>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</si>
  <si>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</si>
  <si>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</si>
  <si>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</si>
  <si>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</si>
  <si>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</si>
  <si>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</si>
  <si>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</si>
  <si>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</si>
  <si>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</si>
  <si>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</si>
  <si>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</si>
  <si>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</si>
  <si>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</si>
  <si>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</si>
  <si>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</si>
  <si>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</si>
  <si>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</si>
  <si>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</si>
  <si>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</si>
  <si>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</si>
  <si>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</si>
  <si>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</si>
  <si>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</si>
  <si>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</si>
  <si>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</si>
  <si>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</si>
  <si>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</si>
  <si>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</si>
  <si>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</si>
  <si>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</si>
  <si>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</si>
  <si>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</si>
  <si>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31774040</t>
  </si>
  <si>
    <t>АО "Спецавтобаза"</t>
  </si>
  <si>
    <t>6658006355</t>
  </si>
  <si>
    <t>26382680</t>
  </si>
  <si>
    <t>Акционерное общество "Горвнешблагоустройство", г.Каменск-Уральский</t>
  </si>
  <si>
    <t>6612019658</t>
  </si>
  <si>
    <t>26382676</t>
  </si>
  <si>
    <t>Индивидуальный предприниматель Костенко Владимир Викторович, г.Заречный</t>
  </si>
  <si>
    <t>660900028596</t>
  </si>
  <si>
    <t>31768579</t>
  </si>
  <si>
    <t>МБУ "Чистый город", г.Красноуфимск</t>
  </si>
  <si>
    <t>6684047005</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</si>
  <si>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</si>
  <si>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</si>
  <si>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</si>
  <si>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</si>
  <si>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</si>
  <si>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</si>
  <si>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</si>
  <si>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</si>
  <si>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</si>
  <si>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</si>
  <si>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</si>
  <si>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</si>
  <si>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</si>
  <si>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</si>
  <si>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</si>
  <si>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</si>
  <si>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</si>
  <si>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</si>
  <si>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26382706</t>
  </si>
  <si>
    <t>Муниципальное унитарное предприятие "Комбинат благоустройства", г.Лесной</t>
  </si>
  <si>
    <t>6630000138</t>
  </si>
  <si>
    <t>663001001</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</si>
  <si>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</si>
  <si>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</si>
  <si>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</si>
  <si>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</si>
  <si>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</si>
  <si>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</si>
  <si>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31524744</t>
  </si>
  <si>
    <t>ООО "ВТОРСБЫТ"</t>
  </si>
  <si>
    <t>6670487768</t>
  </si>
  <si>
    <t>31696506</t>
  </si>
  <si>
    <t>ООО "Вывоз отходов"</t>
  </si>
  <si>
    <t>1660098160</t>
  </si>
  <si>
    <t>31752281</t>
  </si>
  <si>
    <t>ООО "КомТранс"</t>
  </si>
  <si>
    <t>6623071201</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</si>
  <si>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</si>
  <si>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</si>
  <si>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</si>
  <si>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</si>
  <si>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</si>
  <si>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</si>
  <si>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</si>
  <si>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</si>
  <si>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</si>
  <si>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</si>
  <si>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</si>
  <si>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</si>
  <si>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</si>
  <si>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</si>
  <si>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</si>
  <si>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</si>
  <si>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</si>
  <si>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</si>
  <si>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</si>
  <si>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</si>
  <si>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</si>
  <si>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31750700</t>
  </si>
  <si>
    <t>ООО "ТагилСпецТранс"</t>
  </si>
  <si>
    <t>6623091293</t>
  </si>
  <si>
    <t>30989599</t>
  </si>
  <si>
    <t>ООО "Уралвторма", г. Екатеринбург</t>
  </si>
  <si>
    <t>6671007380</t>
  </si>
  <si>
    <t>31764735</t>
  </si>
  <si>
    <t>ООО "Уют-сервис"</t>
  </si>
  <si>
    <t>6684046523</t>
  </si>
  <si>
    <t>17-07-2024 00:00:00</t>
  </si>
  <si>
    <t>31775012</t>
  </si>
  <si>
    <t>ООО "Чистый город"</t>
  </si>
  <si>
    <t>6677019053</t>
  </si>
  <si>
    <t>31711048</t>
  </si>
  <si>
    <t>ООО "ЭКО-Регул"</t>
  </si>
  <si>
    <t>6684032175</t>
  </si>
  <si>
    <t>31765150</t>
  </si>
  <si>
    <t>ООО "Экополигон-Н"</t>
  </si>
  <si>
    <t>6686161899</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</si>
  <si>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</si>
  <si>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</si>
  <si>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</si>
  <si>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</si>
  <si>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</si>
  <si>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</si>
  <si>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</si>
  <si>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</si>
  <si>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</si>
  <si>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</si>
  <si>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</si>
  <si>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</si>
  <si>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</si>
  <si>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</si>
  <si>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</si>
  <si>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</si>
  <si>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</si>
  <si>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</si>
  <si>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</si>
  <si>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</si>
  <si>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</si>
  <si>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</si>
  <si>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</si>
  <si>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</si>
  <si>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</si>
  <si>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</si>
  <si>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</si>
  <si>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</si>
  <si>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</si>
  <si>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</si>
  <si>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</si>
  <si>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</si>
  <si>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</si>
  <si>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</si>
  <si>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</si>
  <si>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</si>
  <si>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</si>
  <si>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</si>
  <si>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</si>
  <si>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</si>
  <si>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</si>
  <si>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</si>
  <si>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</si>
  <si>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</si>
  <si>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</si>
  <si>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</si>
  <si>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</si>
  <si>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</si>
  <si>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</si>
  <si>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</si>
  <si>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</si>
  <si>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</si>
  <si>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</si>
  <si>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</si>
  <si>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</si>
  <si>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</si>
  <si>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</si>
  <si>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</si>
  <si>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</si>
  <si>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</si>
  <si>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</si>
  <si>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</si>
  <si>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</si>
  <si>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</si>
  <si>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</si>
  <si>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</si>
  <si>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</si>
  <si>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</si>
  <si>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</si>
  <si>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</si>
  <si>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</si>
  <si>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</si>
  <si>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</si>
  <si>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</si>
  <si>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</si>
  <si>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</si>
  <si>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</si>
  <si>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</si>
  <si>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</si>
  <si>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</si>
  <si>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</si>
  <si>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</si>
  <si>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</si>
  <si>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</si>
  <si>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</si>
  <si>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</si>
  <si>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</si>
  <si>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</si>
  <si>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</si>
  <si>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</si>
  <si>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Алапаевское</t>
  </si>
  <si>
    <t>65537000</t>
  </si>
  <si>
    <t>муниципальный округ</t>
  </si>
  <si>
    <t>Арамильский городской округ</t>
  </si>
  <si>
    <t>65729000</t>
  </si>
  <si>
    <t>городской округ</t>
  </si>
  <si>
    <t>Артемовский</t>
  </si>
  <si>
    <t>65502000</t>
  </si>
  <si>
    <t>Артемовский городской округ</t>
  </si>
  <si>
    <t>65703000</t>
  </si>
  <si>
    <t>Артинский</t>
  </si>
  <si>
    <t>65503000</t>
  </si>
  <si>
    <t>Артинский городской округ</t>
  </si>
  <si>
    <t>65704000</t>
  </si>
  <si>
    <t>Асбестовский</t>
  </si>
  <si>
    <t>65504000</t>
  </si>
  <si>
    <t>Асбестовский городской округ</t>
  </si>
  <si>
    <t>65730000</t>
  </si>
  <si>
    <t>Ачитский</t>
  </si>
  <si>
    <t>65505000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</si>
  <si>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</si>
  <si>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</si>
  <si>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</si>
  <si>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</si>
  <si>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</si>
  <si>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</si>
  <si>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</si>
  <si>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</si>
  <si>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</si>
  <si>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</si>
  <si>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</si>
  <si>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</si>
  <si>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t>
  </si>
  <si>
    <t>65506000</t>
  </si>
  <si>
    <t>Белоярский городской округ</t>
  </si>
  <si>
    <t>65706000</t>
  </si>
  <si>
    <t>Березовский</t>
  </si>
  <si>
    <t>65507000</t>
  </si>
  <si>
    <t>Бисертский</t>
  </si>
  <si>
    <t>65508000</t>
  </si>
  <si>
    <t>Бисертский городской округ</t>
  </si>
  <si>
    <t>65759000</t>
  </si>
  <si>
    <t>Богданович</t>
  </si>
  <si>
    <t>65514000</t>
  </si>
  <si>
    <t>Верхнесалдинский</t>
  </si>
  <si>
    <t>65509000</t>
  </si>
  <si>
    <t>Верхнесалдинский городской округ</t>
  </si>
  <si>
    <t>65708000</t>
  </si>
  <si>
    <t>Верхний Тагил</t>
  </si>
  <si>
    <t>65515000</t>
  </si>
  <si>
    <t>Верхотурский</t>
  </si>
  <si>
    <t>65516000</t>
  </si>
  <si>
    <t>Волчанский</t>
  </si>
  <si>
    <t>65510000</t>
  </si>
  <si>
    <t>Волчанский городской округ</t>
  </si>
  <si>
    <t>65735000</t>
  </si>
  <si>
    <t>Гаринский</t>
  </si>
  <si>
    <t>65511000</t>
  </si>
  <si>
    <t>Гаринский городской округ</t>
  </si>
  <si>
    <t>65710000</t>
  </si>
  <si>
    <t>Горноуральский</t>
  </si>
  <si>
    <t>65512000</t>
  </si>
  <si>
    <t>Горноуральский городской округ</t>
  </si>
  <si>
    <t>65717000</t>
  </si>
  <si>
    <t>Городской округ "Город Лесной"</t>
  </si>
  <si>
    <t>65749000</t>
  </si>
  <si>
    <t>Дегтярск</t>
  </si>
  <si>
    <t>65517000</t>
  </si>
  <si>
    <t>Заречный</t>
  </si>
  <si>
    <t>65518000</t>
  </si>
  <si>
    <t>Ивдельский</t>
  </si>
  <si>
    <t>65529000</t>
  </si>
  <si>
    <t>Ивдельский городской округ</t>
  </si>
  <si>
    <t>65738000</t>
  </si>
  <si>
    <t>Ирбитский</t>
  </si>
  <si>
    <t>65530000</t>
  </si>
  <si>
    <t>Ирбитское муниципальное образование</t>
  </si>
  <si>
    <t>65711000</t>
  </si>
  <si>
    <t>Каменский</t>
  </si>
  <si>
    <t>65531000</t>
  </si>
  <si>
    <t>Каменский городской округ</t>
  </si>
  <si>
    <t>65712000</t>
  </si>
  <si>
    <t>Камышловский городской округ</t>
  </si>
  <si>
    <t>65741000</t>
  </si>
  <si>
    <t>Карпинск</t>
  </si>
  <si>
    <t>65519000</t>
  </si>
  <si>
    <t>Качканарский</t>
  </si>
  <si>
    <t>65532000</t>
  </si>
  <si>
    <t>Качканарский городской округ</t>
  </si>
  <si>
    <t>65743000</t>
  </si>
  <si>
    <t>Кировградский</t>
  </si>
  <si>
    <t>65533000</t>
  </si>
  <si>
    <t>Кировградский городской округ</t>
  </si>
  <si>
    <t>65744000</t>
  </si>
  <si>
    <t>Краснотурьинск</t>
  </si>
  <si>
    <t>65520000</t>
  </si>
  <si>
    <t>Красноуральск</t>
  </si>
  <si>
    <t>65521000</t>
  </si>
  <si>
    <t>Красноуфимский округ</t>
  </si>
  <si>
    <t>65539000</t>
  </si>
  <si>
    <t>Кушвинский</t>
  </si>
  <si>
    <t>65534000</t>
  </si>
  <si>
    <t>Кушвинский городской округ</t>
  </si>
  <si>
    <t>65748000</t>
  </si>
  <si>
    <t>Малышевский</t>
  </si>
  <si>
    <t>65535000</t>
  </si>
  <si>
    <t>Малышевский городской округ</t>
  </si>
  <si>
    <t>65762000</t>
  </si>
  <si>
    <t>Махнёвский</t>
  </si>
  <si>
    <t>65536000</t>
  </si>
  <si>
    <t>Махнёвское муниципальное образование</t>
  </si>
  <si>
    <t>65769000</t>
  </si>
  <si>
    <t>Невьянский</t>
  </si>
  <si>
    <t>65541000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</si>
  <si>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</si>
  <si>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</si>
  <si>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</si>
  <si>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</si>
  <si>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</si>
  <si>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</si>
  <si>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</si>
  <si>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</si>
  <si>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</si>
  <si>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</si>
  <si>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</si>
  <si>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</si>
  <si>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60</t>
  </si>
  <si>
    <t>61</t>
  </si>
  <si>
    <t>Нижнесергинское городское поселение</t>
  </si>
  <si>
    <t>65628101</t>
  </si>
  <si>
    <t>62</t>
  </si>
  <si>
    <t>городское поселение Верхние Серги</t>
  </si>
  <si>
    <t>65628163</t>
  </si>
  <si>
    <t>63</t>
  </si>
  <si>
    <t>муниципальное образование рабочий поселок Атиг</t>
  </si>
  <si>
    <t>65628154</t>
  </si>
  <si>
    <t>64</t>
  </si>
  <si>
    <t>Нижнетуринский</t>
  </si>
  <si>
    <t>65543000</t>
  </si>
  <si>
    <t>65</t>
  </si>
  <si>
    <t>Нижнетуринский городской округ</t>
  </si>
  <si>
    <t>65715000</t>
  </si>
  <si>
    <t>Нижняя Салда</t>
  </si>
  <si>
    <t>65522000</t>
  </si>
  <si>
    <t>67</t>
  </si>
  <si>
    <t>Новолялинский</t>
  </si>
  <si>
    <t>65544000</t>
  </si>
  <si>
    <t>Новолялинский городской округ</t>
  </si>
  <si>
    <t>65716000</t>
  </si>
  <si>
    <t>69</t>
  </si>
  <si>
    <t>Новоуральский городской округ</t>
  </si>
  <si>
    <t>65752000</t>
  </si>
  <si>
    <t>70</t>
  </si>
  <si>
    <t>Пелым</t>
  </si>
  <si>
    <t>65523000</t>
  </si>
  <si>
    <t>71</t>
  </si>
  <si>
    <t>Первоуральск</t>
  </si>
  <si>
    <t>65524000</t>
  </si>
  <si>
    <t>72</t>
  </si>
  <si>
    <t>Полевской</t>
  </si>
  <si>
    <t>65545000</t>
  </si>
  <si>
    <t>73</t>
  </si>
  <si>
    <t>Полевской городской округ</t>
  </si>
  <si>
    <t>65754000</t>
  </si>
  <si>
    <t>74</t>
  </si>
  <si>
    <t>Пышминский</t>
  </si>
  <si>
    <t>65546000</t>
  </si>
  <si>
    <t>75</t>
  </si>
  <si>
    <t>Пышминский городской округ</t>
  </si>
  <si>
    <t>65718000</t>
  </si>
  <si>
    <t>76</t>
  </si>
  <si>
    <t>Ревда</t>
  </si>
  <si>
    <t>65525000</t>
  </si>
  <si>
    <t>77</t>
  </si>
  <si>
    <t>Режевской</t>
  </si>
  <si>
    <t>65547000</t>
  </si>
  <si>
    <t>78</t>
  </si>
  <si>
    <t>Режевской городской округ</t>
  </si>
  <si>
    <t>65720000</t>
  </si>
  <si>
    <t>79</t>
  </si>
  <si>
    <t>Североуральский</t>
  </si>
  <si>
    <t>65548000</t>
  </si>
  <si>
    <t>80</t>
  </si>
  <si>
    <t>Североуральский городской округ</t>
  </si>
  <si>
    <t>65755000</t>
  </si>
  <si>
    <t>81</t>
  </si>
  <si>
    <t>Серовский</t>
  </si>
  <si>
    <t>65549000</t>
  </si>
  <si>
    <t>82</t>
  </si>
  <si>
    <t>Серовский городской округ</t>
  </si>
  <si>
    <t>65756000</t>
  </si>
  <si>
    <t>83</t>
  </si>
  <si>
    <t>Слободо-Туринский муниципальный район</t>
  </si>
  <si>
    <t>65639000</t>
  </si>
  <si>
    <t>Ницинское сельское поселение</t>
  </si>
  <si>
    <t>65639440</t>
  </si>
  <si>
    <t>84</t>
  </si>
  <si>
    <t>Сладковское сельское поселение</t>
  </si>
  <si>
    <t>65639455</t>
  </si>
  <si>
    <t>85</t>
  </si>
  <si>
    <t>86</t>
  </si>
  <si>
    <t>Слободо-Туринское сельское поселение</t>
  </si>
  <si>
    <t>65639460</t>
  </si>
  <si>
    <t>87</t>
  </si>
  <si>
    <t>Усть-Ницинское сельское поселение</t>
  </si>
  <si>
    <t>65639470</t>
  </si>
  <si>
    <t>88</t>
  </si>
  <si>
    <t>Сосьвинский</t>
  </si>
  <si>
    <t>65551000</t>
  </si>
  <si>
    <t>89</t>
  </si>
  <si>
    <t>Сосьвинский городской округ</t>
  </si>
  <si>
    <t>65721000</t>
  </si>
  <si>
    <t>90</t>
  </si>
  <si>
    <t>Среднеуральск</t>
  </si>
  <si>
    <t>65526000</t>
  </si>
  <si>
    <t>91</t>
  </si>
  <si>
    <t>Староуткинск</t>
  </si>
  <si>
    <t>65527000</t>
  </si>
  <si>
    <t>92</t>
  </si>
  <si>
    <t>Сухой Лог</t>
  </si>
  <si>
    <t>65528000</t>
  </si>
  <si>
    <t>93</t>
  </si>
  <si>
    <t>Сысертский</t>
  </si>
  <si>
    <t>65552000</t>
  </si>
  <si>
    <t>94</t>
  </si>
  <si>
    <t>Сысертский городской округ</t>
  </si>
  <si>
    <t>65722000</t>
  </si>
  <si>
    <t>95</t>
  </si>
  <si>
    <t>Таборинский муниципальный район</t>
  </si>
  <si>
    <t>65645000</t>
  </si>
  <si>
    <t>Кузнецовское сельское поселение</t>
  </si>
  <si>
    <t>65645415</t>
  </si>
  <si>
    <t>96</t>
  </si>
  <si>
    <t>Межселенные территории Таборинского муниципального района, находящиеся вне границ сельских поселений</t>
  </si>
  <si>
    <t>65645701</t>
  </si>
  <si>
    <t>межселенная территория</t>
  </si>
  <si>
    <t>97</t>
  </si>
  <si>
    <t>98</t>
  </si>
  <si>
    <t>Таборинское сельское поселение</t>
  </si>
  <si>
    <t>65645440</t>
  </si>
  <si>
    <t>99</t>
  </si>
  <si>
    <t>Унже-Павинское сельское поселение</t>
  </si>
  <si>
    <t>65645450</t>
  </si>
  <si>
    <t>100</t>
  </si>
  <si>
    <t>Тавдинский</t>
  </si>
  <si>
    <t>65553000</t>
  </si>
  <si>
    <t>101</t>
  </si>
  <si>
    <t>Тавдинский городской округ</t>
  </si>
  <si>
    <t>65723000</t>
  </si>
  <si>
    <t>102</t>
  </si>
  <si>
    <t>Талицкий</t>
  </si>
  <si>
    <t>65554000</t>
  </si>
  <si>
    <t>103</t>
  </si>
  <si>
    <t>Талицкий городской округ</t>
  </si>
  <si>
    <t>65724000</t>
  </si>
  <si>
    <t>104</t>
  </si>
  <si>
    <t>Тугулымский</t>
  </si>
  <si>
    <t>65555000</t>
  </si>
  <si>
    <t>105</t>
  </si>
  <si>
    <t>Тугулымский городской округ</t>
  </si>
  <si>
    <t>65725000</t>
  </si>
  <si>
    <t>106</t>
  </si>
  <si>
    <t>Туринский</t>
  </si>
  <si>
    <t>65556000</t>
  </si>
  <si>
    <t>107</t>
  </si>
  <si>
    <t>Туринский городской округ</t>
  </si>
  <si>
    <t>65726000</t>
  </si>
  <si>
    <t>108</t>
  </si>
  <si>
    <t>Шалинский</t>
  </si>
  <si>
    <t>65557000</t>
  </si>
  <si>
    <t>109</t>
  </si>
  <si>
    <t>Шалинский городской округ</t>
  </si>
  <si>
    <t>65727000</t>
  </si>
  <si>
    <t>110</t>
  </si>
  <si>
    <t>город Алапаевск</t>
  </si>
  <si>
    <t>65538000</t>
  </si>
  <si>
    <t>111</t>
  </si>
  <si>
    <t>город Каменск-Уральский</t>
  </si>
  <si>
    <t>65740000</t>
  </si>
  <si>
    <t>112</t>
  </si>
  <si>
    <t>город Нижний Тагил</t>
  </si>
  <si>
    <t>65513000</t>
  </si>
  <si>
    <t>113</t>
  </si>
  <si>
    <t>65751000</t>
  </si>
  <si>
    <t>114</t>
  </si>
  <si>
    <t>городской округ Богданович</t>
  </si>
  <si>
    <t>65707000</t>
  </si>
  <si>
    <t>115</t>
  </si>
  <si>
    <t>городской округ Верх-Нейвинский</t>
  </si>
  <si>
    <t>65761000</t>
  </si>
  <si>
    <t>116</t>
  </si>
  <si>
    <t>городской округ Верхнее Дуброво</t>
  </si>
  <si>
    <t>65760000</t>
  </si>
  <si>
    <t>117</t>
  </si>
  <si>
    <t>городской округ Верхний Тагил</t>
  </si>
  <si>
    <t>65733000</t>
  </si>
  <si>
    <t>118</t>
  </si>
  <si>
    <t>городской округ Верхняя Пышма</t>
  </si>
  <si>
    <t>65732000</t>
  </si>
  <si>
    <t>119</t>
  </si>
  <si>
    <t>городской округ Верхняя Тура</t>
  </si>
  <si>
    <t>65734000</t>
  </si>
  <si>
    <t>120</t>
  </si>
  <si>
    <t>городской округ Верхотурский</t>
  </si>
  <si>
    <t>65709000</t>
  </si>
  <si>
    <t>121</t>
  </si>
  <si>
    <t>городской округ Дегтярск</t>
  </si>
  <si>
    <t>65736000</t>
  </si>
  <si>
    <t>122</t>
  </si>
  <si>
    <t>городской округ ЗАТО Свободный</t>
  </si>
  <si>
    <t>65765000</t>
  </si>
  <si>
    <t>123</t>
  </si>
  <si>
    <t>городской округ Заречный</t>
  </si>
  <si>
    <t>65737000</t>
  </si>
  <si>
    <t>124</t>
  </si>
  <si>
    <t>городской округ Карпинск</t>
  </si>
  <si>
    <t>65742000</t>
  </si>
  <si>
    <t>125</t>
  </si>
  <si>
    <t>городской округ Краснотурьинск</t>
  </si>
  <si>
    <t>65745000</t>
  </si>
  <si>
    <t>126</t>
  </si>
  <si>
    <t>городской округ Красноуральск</t>
  </si>
  <si>
    <t>65746000</t>
  </si>
  <si>
    <t>127</t>
  </si>
  <si>
    <t>городской округ Красноуфимск</t>
  </si>
  <si>
    <t>65747000</t>
  </si>
  <si>
    <t>128</t>
  </si>
  <si>
    <t>городской округ Нижняя Салда</t>
  </si>
  <si>
    <t>65750000</t>
  </si>
  <si>
    <t>129</t>
  </si>
  <si>
    <t>городской округ Пелым</t>
  </si>
  <si>
    <t>65764000</t>
  </si>
  <si>
    <t>130</t>
  </si>
  <si>
    <t>городской округ Первоуральск</t>
  </si>
  <si>
    <t>65753000</t>
  </si>
  <si>
    <t>131</t>
  </si>
  <si>
    <t>городской округ Ревда</t>
  </si>
  <si>
    <t>65719000</t>
  </si>
  <si>
    <t>132</t>
  </si>
  <si>
    <t>городской округ Рефтинский</t>
  </si>
  <si>
    <t>65763000</t>
  </si>
  <si>
    <t>133</t>
  </si>
  <si>
    <t>городской округ Среднеуральск</t>
  </si>
  <si>
    <t>65757000</t>
  </si>
  <si>
    <t>134</t>
  </si>
  <si>
    <t>городской округ Староуткинск</t>
  </si>
  <si>
    <t>65766000</t>
  </si>
  <si>
    <t>135</t>
  </si>
  <si>
    <t>городской округ Сухой Лог</t>
  </si>
  <si>
    <t>65758000</t>
  </si>
  <si>
    <t>136</t>
  </si>
  <si>
    <t>муниципальное образование «поселок Уральский»</t>
  </si>
  <si>
    <t>65767000</t>
  </si>
  <si>
    <t>137</t>
  </si>
  <si>
    <t>муниципальное образование Алапаевское</t>
  </si>
  <si>
    <t>65771000</t>
  </si>
  <si>
    <t>138</t>
  </si>
  <si>
    <t>муниципальное образование Камышловский муниципальный район</t>
  </si>
  <si>
    <t>65623000</t>
  </si>
  <si>
    <t>Муниципальное образование "Восточное сельское поселение"</t>
  </si>
  <si>
    <t>65623405</t>
  </si>
  <si>
    <t>139</t>
  </si>
  <si>
    <t>Муниципальное образование "Галкинское сельское поселение"</t>
  </si>
  <si>
    <t>65623415</t>
  </si>
  <si>
    <t>140</t>
  </si>
  <si>
    <t>Муниципальное образование "Зареченское сельское поселение"</t>
  </si>
  <si>
    <t>65623420</t>
  </si>
  <si>
    <t>141</t>
  </si>
  <si>
    <t>Муниципальное образование "Калиновское сельское поселение"</t>
  </si>
  <si>
    <t>65623430</t>
  </si>
  <si>
    <t>142</t>
  </si>
  <si>
    <t>Муниципальное образование "Обуховское сельское поселение"</t>
  </si>
  <si>
    <t>65623455</t>
  </si>
  <si>
    <t>143</t>
  </si>
  <si>
    <t>144</t>
  </si>
  <si>
    <t>муниципальное образование Красноуфимский округ</t>
  </si>
  <si>
    <t>65713000</t>
  </si>
  <si>
    <t>145</t>
  </si>
  <si>
    <t>муниципальное образование город Алапаевск</t>
  </si>
  <si>
    <t>65728000</t>
  </si>
  <si>
    <t>146</t>
  </si>
  <si>
    <t>муниципальное образование город Екатеринбург</t>
  </si>
  <si>
    <t>65701000</t>
  </si>
  <si>
    <t>147</t>
  </si>
  <si>
    <t>муниципальное образование город Ирбит</t>
  </si>
  <si>
    <t>65739000</t>
  </si>
  <si>
    <t>148</t>
  </si>
  <si>
    <t>NUMBER_POINT</t>
  </si>
  <si>
    <t>INVP_NAME</t>
  </si>
  <si>
    <t>INVP_ID</t>
  </si>
  <si>
    <t>L_START_DATE</t>
  </si>
  <si>
    <t>L_END_DATE</t>
  </si>
  <si>
    <t>L_DECISION_NAME</t>
  </si>
  <si>
    <t>L_DECISION_TYPE</t>
  </si>
  <si>
    <t>L_DECISION_NMBR</t>
  </si>
  <si>
    <t>L_DECISION_DATE</t>
  </si>
  <si>
    <t>Инвестиционная программа № 273 от 10.06.2022 Екатеринбургское муниципальное унитарное предприятие водопроводно-канализационного хозяйства (МУП "Водоканал"), г.Екатеринбург в сфере водоснабжения и водоотведения по развитию инфраструктуры, на территории городского округа муниципальное образование Екатеринбург на 2022-2025 годы</t>
  </si>
  <si>
    <t>10.06.2022</t>
  </si>
  <si>
    <t>31.12.2025</t>
  </si>
  <si>
    <t>Инвестиционная программа № 342 от 18.08.2021 Муниципальное унитарное предприятие "Водопроводно-канализационного хозяйства" городского округа Верхняя Пышма, г. Верхняя Пышма в сфере холодного водоснабжения по комплексному развитию систем коммунальной инфраструктуры, на территории городского округа Пышминский на 2021-2023 годы</t>
  </si>
  <si>
    <t>18.08.2021</t>
  </si>
  <si>
    <t>31.12.2023</t>
  </si>
  <si>
    <t>Инвестиционная программа № 382 от 29.08.2024 МУП "Коммунальный комплекс", г. Карпинск в сфере холодного водоснабжения по модернизации и реконструкции систем инженерной инфраструктуры, на территории городского округа Карпинск на 2025-2027 годы</t>
  </si>
  <si>
    <t>01.01.2025</t>
  </si>
  <si>
    <t>31.12.2027</t>
  </si>
  <si>
    <t>Инвестиционная программа № 519 от 27.10.2023 в сфере холодного водоснабжения по строительству объектов централизованной системы водоснабжения, на территории городского округа Березовский на 2024-2026 годы</t>
  </si>
  <si>
    <t>01.01.2024</t>
  </si>
  <si>
    <t>31.12.2026</t>
  </si>
  <si>
    <t>Инвестиционная программа № 526 от 16.10.2024 Муниципальное унитарное предприятие "Горкомсети", г.Сухой Лог в сфере холодного водоснабжения по модернизации систем водоснабжения, на территории городского округа Сухой Лог на 2025-2027 годы</t>
  </si>
  <si>
    <t>Инвестиционная программа № 527 от 16.10.2024 Муниципальное унитарное предприятие Новоуральского ГО "Водопроводно-канализационное хозяйство", г. Новоуральск в сфере холодного водоснабжения по модернизации систем водоснабжения, на территории городского округа Новоуральский на 2025-2027 годы</t>
  </si>
  <si>
    <t>Инвестиционная программа № 528 от 14.10.2022 Муниципальное унитарное предприятие "Водопроводно-канализационного хозяйства" городского округа Верхняя Пышма, г. Верхняя Пышма в сфере холодного водоснабжения по комплексному развитию систем инженерной инфраструктуры, на территории городского округа Верхняя Пышма на 2022-2023 годы</t>
  </si>
  <si>
    <t>14.10.2022</t>
  </si>
  <si>
    <t>Инвестиционная программа № 537 от 16.10.2024 Муниципальное унитарное предприятие городского округа Богданович "Водоканал", г. Богданович в сфере водоснабжения и водоотведения по модернизации и реконструкции систем водоснабжения и водоотведения, на территории городского округа Богданович на 2025-2029 годы</t>
  </si>
  <si>
    <t>31.12.2029</t>
  </si>
  <si>
    <t>Инвестиционная программа № 542 от 17.10.2024 Общество с ограниченной ответственностью "Вертикаль", г.Екатеринбург в сфере холодного водоснабжения по модернизации систем инженерной инфраструктуры, на территории городского округа Серовский на 2025-2027 годы</t>
  </si>
  <si>
    <t>Инвестиционная программа № 545 от 21.10.2022 Акционерное общество "Северский трубный завод", г. Полевской в сфере холодного водоснабжения по комплексному развитию систем водоснабжения, на территории городского округа Полевской на 2022-2024 годы</t>
  </si>
  <si>
    <t>21.10.2022</t>
  </si>
  <si>
    <t>31.12.2024</t>
  </si>
  <si>
    <t>Инвестиционная программа № 551 от 24.10.2022 Муниципальное унитарное предприятие "Горкомхоз" МО "город Красноуфимск", г.Красноуфимск в сфере холодного водоснабжения по развитию систем водоснабжения, на территории городского округа Красноуфимск на 2023-2025 годы</t>
  </si>
  <si>
    <t>01.01.2023</t>
  </si>
  <si>
    <t>Инвестиционная программа № 561 от 17.11.2023 Муниципальное унитарное предприятие "Водопроводно-канализационного хозяйства" городского округа Верхняя Пышма, г. Верхняя Пышма в сфере холодного водоснабжения по комплексному развитию систем инженерной инфраструктуры, на территории городского округа Верхняя Пышма на 2023-2030 годы</t>
  </si>
  <si>
    <t>17.11.2023</t>
  </si>
  <si>
    <t>31.12.2030</t>
  </si>
  <si>
    <t>Инвестиционная программа № 571 от 28.10.2022 Открытое акционерное общество "Полевская коммунальная компания", г.Полевской в сфере холодного водоснабжения по развитию систем водоснабжения, на территории городского округа Полевской на 2022-2025 годы</t>
  </si>
  <si>
    <t>28.10.2022</t>
  </si>
  <si>
    <t>Инвестиционная программа № 572 от 28.10.2022 Муниципальное унитарное предприятие Качканарского городского округа «Городские энергосистемы», г.Качканар в сфере холодного водоснабжения по модернизации объектов централизованной системы водоснабжения, на территории городского округа Качканарский на 2023-2025 годы</t>
  </si>
  <si>
    <t>Инвестиционная программа № 582 от 24.11.2023 в сфере холодного водоснабжения по модернизации объектов централизованной системы водоснабжения, на территории городского округа Качканарский на 2024-2025 годы</t>
  </si>
  <si>
    <t>Инвестиционная программа № 583 от 23.10.2024 Муниципальное унитарное предприятие «Красноуральское водоснабжающее предприятие» в сфере холодного водоснабжения по модернизации систем водоснабжения, на территории городского округа Красноуральск на 2025-2028 годы</t>
  </si>
  <si>
    <t>31.12.2028</t>
  </si>
  <si>
    <t>Инвестиционная программа № 584 от 23.10.2024 Муниципальное унитарное предприятие Талицкого городского округа "Единый водоканал", г. Талица в сфере холодного водоснабжения по модернизации водопроводных сетей, на территории городского округа Талицкий на 2025-2027 годы</t>
  </si>
  <si>
    <t>Инвестиционная программа № 590 от 24.10.2024 Муниципальное унитарное предприятие "Жилищно-коммунальное хозяйство Ирбитского района", п.Пионерский в сфере холодного водоснабжения по модернизации и строительству систем инженерной инфраструктуры, на территории городского округа Ирбитское муниципальное образование на 2025-2027 годы</t>
  </si>
  <si>
    <t>Инвестиционная программа № 601 от 25.10.2024 МКУ "ЖКХ ГО Староуткинск" в сфере холодного водоснабжения по модернизации систем инженерной инфраструктуры, на территории городского округа Староуткинск на 2025-2027 годы</t>
  </si>
  <si>
    <t>Инвестиционная программа № 602 от 25.10.2024 Муниципальное унитарное предприятие "Управление коммунальным комплексом", г.Краснотурьинск в сфере холодного водоснабжения по модернизации систем инженерной инфраструктуры, на территории городского округа Краснотурьинск на 2025-2027 годы</t>
  </si>
  <si>
    <t>Инвестиционная программа № 604 от 29.10.2024 Муниципальное унитарное предприятие жилищно-коммунального хозяйства "Сысертское", г.Сысерть в сфере холодного водоснабжения по модернизации объектов централизованной системы водоснабжения, на территории городского округа Сысертский на 2025-2028 годы</t>
  </si>
  <si>
    <t>Инвестиционная программа № 605 от 29.10.2024 Муниципальное казенное предприятие "Энергокомплекс" Асбестовского городского округа, п.Белокаменный в сфере холодного водоснабжения по модернизации объектов централизованной системы водоснабжения, на территории городского округа Асбестовский на 2025-2027 годы</t>
  </si>
  <si>
    <t>Инвестиционная программа № 606 от 29.10.2024 Муниципальное унитарное предприятие "Невьянский водоканал" Невьянского городского округа, г. Невьянск в сфере холодного водоснабжения по модернизации участков водопроводных сетей, на территории городского округа Невьянский на 2025-2028 годы</t>
  </si>
  <si>
    <t>Инвестиционная программа № 613 от 14.11.2022 Первоуральское производственное муниципальное унитарное предприятие "Водоканал", г.Первоуральск в сфере водоснабжения и водоотведения по развитию систем водоснабжения и водоотведения, на территории городского округа Первоуральск на 2022-2030 годы</t>
  </si>
  <si>
    <t>14.11.2022</t>
  </si>
  <si>
    <t>Инвестиционная программа № 615 от 29.10.2024 Муниципальное унитарное предприятие "Коммунальные сети", п. Заря в сфере холодного водоснабжения по модернизации и реконструкции систем инженерной инфраструктуры, на территории городского округа муниципальное образование Алапаевское на 2025-2027 годы</t>
  </si>
  <si>
    <t>Инвестиционная программа № 616 от 29.10.2024 МУП "Водоканал г. Верхний Тагил" в сфере холодного водоснабжения по модернизации водопроводных сетей, на территории городского округа Верхний Тагил на 2025-2027 годы</t>
  </si>
  <si>
    <t>Инвестиционная программа № 617 от 29.10.2024 Муниципальное унитарное предприятие жилищно-коммунального хозяйства "Водоканал", г. Туринск в сфере холодного водоснабжения по модернизации систем водоснабжения, на территории городского округа Туринский на 2025-2027 годы</t>
  </si>
  <si>
    <t>Инвестиционная программа № 618 от 29.10.2024 ООО "РусЭнергоГарант" в сфере холодного водоснабжения по модернизации объектов централизованной системы водоснабжения, на территории городского округа Дегтярск на 2025-2027 годы</t>
  </si>
  <si>
    <t>Инвестиционная программа № 619 от 29.10.2024 Акционерное общество "Водоканал Каменск-Уральский", г.Каменск-Уральский в сфере холодного водоснабжения по модернизации водопроводных сетей, на территории городского округа Каменск-Уральский на 2025-2027 годы</t>
  </si>
  <si>
    <t>Инвестиционная программа № 620 от 29.10.2024 МУП АГО "ВОДОКАНАЛ" в сфере холодного водоснабжения по модернизации водопроводных сетей, на территории городского округа Артинский на 2025-2028 годы</t>
  </si>
  <si>
    <t>Инвестиционная программа № 620 от 29.10.2024 Муниципальное унитарное предприятие "Жилищно-коммунальное хозяйство" муниципального образования рабочий поселок Атиг, п. Атиг в сфере холодного водоснабжения по модернизации водопроводных сетей, на территории муниципального района Нижнесергинский на 2025-2027 годы</t>
  </si>
  <si>
    <t>Инвестиционная программа № 621 от 29.10.2024 МУП "Североуральский Водоканал" в сфере холодного водоснабжения по модернизации участков водопроводных сетей, на территории городского округа Североуральский на 2025-2027 годы</t>
  </si>
  <si>
    <t>Инвестиционная программа № 622 от 29.10.2024 Муниципальное унитарное предприятие "Энергосервис" муниципального образования Красноуфимский район, п.Березовая роща в сфере холодного водоснабжения по модернизации водопроводных сетей, на территории городского округа Красноуфимск на 2025-2027 годы</t>
  </si>
  <si>
    <t>Инвестиционная программа № 624 от 29.10.2024 Муниципальное унитарное предприятие "Слободо-Туринское ЖКХ Плюс" Слободо-Туринского с.п., с.Туринская Слобода в сфере холодного водоснабжения по модернизации водопроводных сетей, на территории муниципального района Слободо-Туринский на 2025-2027 годы</t>
  </si>
  <si>
    <t>Инвестиционная программа № 624 от 29.10.2024 Муниципальное унитарное предприятие жилищно-коммунального хозяйства Ачитского городского округа, п.Ачит в сфере холодного водоснабжения по модернизации водопроводных сетей, на территории городского округа Ачитский на 2025-2027 годы</t>
  </si>
  <si>
    <t>Инвестиционная программа № 625 от 29.10.2024 МУП "Горноуральская теплоснабжающая компания" в сфере холодного водоснабжения по модернизации объектов централизованной системы водоснабжения, на территории городского округа Горноуральский на 2025-2027 годы</t>
  </si>
  <si>
    <t>Инвестиционная программа № 626 от 29.10.2024 Муниципальное унитарное предприятие "Волчанский теплоэнергетический комплекс", г. Волчанск в сфере холодного водоснабжения по модернизации участков водопроводных сетей, на территории городского округа Волчанский на 2025-2027 годы</t>
  </si>
  <si>
    <t>Инвестиционная программа № 627 от 29.10.2024 МУП "ЖКХ пос.Буланаш" в сфере холодного водоснабжения по модернизации водопроводных сетей, на территории городского округа Артемовский на 2025-2027 годы</t>
  </si>
  <si>
    <t>Инвестиционная программа № 628 от 29.10.2024 МУП "Управляющая компания "Потенциал", г. Верхний Тагил в сфере холодного водоснабжения по модернизации водопроводных сетей, на территории городского округа Верхний Тагил на 2025-2028 годы</t>
  </si>
  <si>
    <t>Инвестиционная программа № 692 от 19.11.2024 МУП "ГОРЭНЕРГО" в сфере холодного водоснабжения по модернизации объектов централизованной системы водоснабжения, на территории городского округа Качканарский на 2024-2025 годы</t>
  </si>
  <si>
    <t>19.11.2024</t>
  </si>
  <si>
    <t>Инвестиционная программа № 694 от 19.11.2024 Муниципальное унитарное предприятие "Водопроводно-канализационного хозяйства" городского округа Верхняя Пышма, г. Верхняя Пышма в сфере холодного водоснабжения по комплексному развитию систем инженерной инфраструктуры, на территории городского округа Верхняя Пышма на 2024-2030 годы</t>
  </si>
  <si>
    <t>Инвестиционная программа № 696 от 19.11.2024 АО "СТЗ" в сфере холодного водоснабжения по комплексному развитию систем водоснабжения, на территории городского округа Полевской на 2024-2028 годы</t>
  </si>
  <si>
    <t>Инвестиционная программа № 711 от 19.11.2024 МУП "ВОДОКАНАЛ" в сфере водоснабжения и водоотведения по развитию систем водоснабжения и водоотведения, на территории городского округа муниципальное образование Екатеринбург на 2024-2035 годы</t>
  </si>
  <si>
    <t>31.12.2035</t>
  </si>
  <si>
    <t>Инвестиционная программа № 713 от 19.11.2024 Муниципальное унитарное предприятие Березовское водо-канализационное хозяйство "Водоканал", г.Березовский в сфере холодного водоснабжения по строительству объектов централизованной системы водоснабжения, на территории городского округа Березовский на 2024-2027 годы</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</si>
  <si>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</si>
  <si>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</si>
  <si>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</si>
  <si>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</si>
  <si>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</si>
  <si>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</si>
  <si>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</si>
  <si>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</si>
  <si>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</si>
  <si>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</si>
  <si>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</si>
  <si>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</si>
  <si>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</si>
  <si>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</si>
  <si>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</si>
  <si>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</si>
  <si>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</si>
  <si>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</si>
  <si>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</si>
  <si>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</si>
  <si>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</si>
  <si>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</si>
  <si>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</si>
  <si>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</si>
  <si>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</si>
  <si>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</si>
  <si>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</si>
  <si>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</si>
  <si>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</si>
  <si>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</si>
  <si>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</si>
  <si>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</si>
  <si>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</si>
  <si>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</si>
  <si>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</si>
  <si>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</si>
  <si>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</si>
  <si>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</si>
  <si>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</si>
  <si>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</si>
  <si>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</si>
  <si>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</si>
  <si>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</si>
  <si>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</si>
  <si>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</si>
  <si>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</si>
  <si>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</si>
  <si>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</si>
  <si>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</si>
  <si>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</si>
  <si>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</si>
  <si>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</si>
  <si>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</si>
  <si>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</si>
  <si>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</si>
  <si>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</si>
  <si>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</si>
  <si>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</si>
  <si>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</si>
  <si>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</si>
  <si>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</si>
  <si>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</si>
  <si>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</si>
  <si>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</si>
  <si>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</si>
  <si>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</si>
  <si>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</si>
  <si>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</si>
  <si>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</si>
  <si>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</si>
  <si>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</si>
  <si>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</si>
  <si>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</si>
  <si>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</si>
  <si>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</si>
  <si>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</si>
  <si>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</si>
  <si>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</si>
  <si>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</si>
  <si>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</si>
  <si>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</si>
  <si>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</si>
  <si>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</si>
  <si>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</si>
  <si>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</si>
  <si>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</si>
  <si>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</si>
  <si>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</si>
  <si>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</si>
  <si>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</si>
  <si>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</si>
  <si>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</si>
  <si>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</si>
  <si>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</si>
  <si>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</si>
  <si>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</si>
  <si>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</si>
  <si>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</si>
  <si>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</si>
  <si>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</si>
  <si>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</si>
  <si>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</si>
  <si>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</si>
  <si>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</si>
  <si>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</si>
  <si>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</si>
  <si>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</si>
  <si>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</si>
  <si>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</si>
  <si>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</si>
  <si>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</si>
  <si>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</si>
  <si>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</si>
  <si>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</si>
  <si>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</si>
  <si>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</si>
  <si>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</si>
  <si>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</si>
  <si>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</si>
  <si>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</si>
  <si>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</si>
  <si>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</si>
  <si>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</si>
  <si>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</si>
  <si>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</si>
  <si>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</si>
  <si>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</si>
  <si>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</si>
  <si>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</si>
  <si>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</si>
  <si>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</si>
  <si>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</si>
  <si>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</si>
  <si>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</si>
  <si>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</si>
  <si>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</si>
  <si>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</si>
  <si>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</si>
  <si>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</si>
  <si>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</si>
  <si>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</si>
  <si>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</si>
  <si>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</si>
  <si>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</si>
  <si>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</si>
  <si>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</si>
  <si>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</si>
  <si>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</si>
  <si>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</si>
  <si>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</si>
  <si>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</si>
  <si>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</si>
  <si>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</si>
  <si>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</si>
  <si>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</si>
  <si>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</si>
  <si>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</si>
  <si>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</si>
  <si>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</si>
  <si>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</si>
  <si>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</si>
  <si>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</si>
  <si>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</si>
  <si>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</si>
  <si>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</si>
  <si>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</si>
  <si>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</si>
  <si>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</si>
  <si>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</si>
  <si>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</si>
  <si>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</si>
  <si>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</si>
  <si>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</si>
  <si>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</si>
  <si>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</si>
  <si>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</si>
  <si>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</si>
  <si>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</si>
  <si>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</si>
  <si>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</si>
  <si>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</si>
  <si>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</si>
  <si>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</si>
  <si>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</si>
  <si>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</si>
  <si>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</si>
  <si>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</si>
  <si>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</si>
  <si>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</si>
  <si>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</si>
  <si>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</si>
  <si>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</si>
  <si>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</si>
  <si>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</si>
  <si>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</si>
  <si>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</si>
  <si>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2496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</si>
</sst>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60">
    <xf numFmtId="49" fontId="0" fillId="0" borderId="0" xfId="0">
      <alignment vertical="top"/>
    </xf>
    <xf numFmtId="0" fontId="11" fillId="0" borderId="0" xfId="14"/>
    <xf numFmtId="49" fontId="0" fillId="0" borderId="0" xfId="13" applyFont="1">
      <alignment vertical="top"/>
    </xf>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7"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5" fillId="0" borderId="0" xfId="0" applyFont="1" applyAlignment="1">
      <alignment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top"/>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68" fontId="0" fillId="12" borderId="3" xfId="0" applyNumberFormat="1" applyFill="1" applyBorder="1" applyAlignment="1" applyProtection="1">
      <alignment horizontal="left" vertical="center" wrapText="1" indent="1"/>
      <protection locked="0"/>
    </xf>
    <xf numFmtId="168" fontId="0" fillId="0" borderId="3" xfId="0" applyNumberFormat="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ill="1" applyBorder="1" applyAlignment="1" applyProtection="1">
      <alignment horizontal="left" vertical="center" wrapText="1"/>
      <protection locked="0"/>
    </xf>
    <xf numFmtId="168" fontId="0" fillId="9" borderId="3" xfId="0" applyNumberFormat="1" applyFill="1" applyBorder="1" applyAlignment="1" applyProtection="1">
      <alignment horizontal="left" vertical="center" wrapText="1" indent="1"/>
      <protection locked="0"/>
    </xf>
    <xf numFmtId="168"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8" fontId="0" fillId="12" borderId="5" xfId="0" applyNumberFormat="1" applyFill="1" applyBorder="1" applyAlignment="1" applyProtection="1">
      <alignment horizontal="left" vertical="center" wrapText="1"/>
      <protection locked="0"/>
    </xf>
    <xf numFmtId="168"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49" fontId="0" fillId="0" borderId="3" xfId="13" applyFont="1" applyBorder="1">
      <alignment vertical="top"/>
    </xf>
    <xf numFmtId="49" fontId="0" fillId="0" borderId="5" xfId="13" applyFont="1" applyBorder="1">
      <alignment vertical="top"/>
    </xf>
    <xf numFmtId="49" fontId="0" fillId="16" borderId="8" xfId="13" applyFont="1" applyFill="1" applyBorder="1">
      <alignment vertical="top"/>
    </xf>
    <xf numFmtId="49" fontId="0" fillId="17" borderId="3" xfId="13" applyFont="1" applyFill="1" applyBorder="1">
      <alignment vertical="top"/>
    </xf>
    <xf numFmtId="49" fontId="0" fillId="0" borderId="6" xfId="13" applyFont="1" applyBorder="1" applyAlignment="1">
      <alignment horizontal="center" vertical="top"/>
    </xf>
    <xf numFmtId="49" fontId="0" fillId="2" borderId="3" xfId="13" applyFont="1" applyFill="1" applyBorder="1">
      <alignment vertical="top"/>
    </xf>
    <xf numFmtId="49" fontId="0" fillId="18" borderId="3" xfId="13" applyFont="1" applyFill="1" applyBorder="1">
      <alignment vertical="top"/>
    </xf>
    <xf numFmtId="49" fontId="0" fillId="5" borderId="8" xfId="13" applyFont="1" applyFill="1" applyBorder="1">
      <alignment vertical="top"/>
    </xf>
    <xf numFmtId="49" fontId="0" fillId="3" borderId="5" xfId="13" applyFont="1" applyFill="1" applyBorder="1">
      <alignment vertical="top"/>
    </xf>
    <xf numFmtId="49" fontId="0" fillId="3" borderId="3" xfId="13" applyFont="1" applyFill="1" applyBorder="1">
      <alignment vertical="top"/>
    </xf>
    <xf numFmtId="49" fontId="0" fillId="5" borderId="3" xfId="13" applyFont="1" applyFill="1" applyBorder="1">
      <alignment vertical="top"/>
    </xf>
    <xf numFmtId="49" fontId="9" fillId="12" borderId="3" xfId="0" applyFont="1" applyFill="1" applyBorder="1" applyAlignment="1" applyProtection="1">
      <alignment horizontal="left" vertical="center" wrapText="1"/>
      <protection locked="0"/>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29" fillId="0" borderId="3" xfId="0" applyFont="1" applyBorder="1" applyAlignment="1">
      <alignment horizontal="center" vertical="center" wrapText="1"/>
    </xf>
    <xf numFmtId="0" fontId="0" fillId="0" borderId="3" xfId="0" applyNumberFormat="1" applyBorder="1" applyAlignment="1">
      <alignment horizontal="center" vertical="center"/>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49" fontId="0" fillId="8" borderId="3" xfId="0" applyFill="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8"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5" fillId="0" borderId="27" xfId="0" applyNumberFormat="1" applyFont="1" applyBorder="1" applyAlignment="1">
      <alignment vertical="center" wrapText="1"/>
    </xf>
    <xf numFmtId="0" fontId="20" fillId="0" borderId="0" xfId="0" applyNumberFormat="1" applyFont="1" applyAlignment="1">
      <alignment vertical="center" wrapTex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8"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68"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Font="1" applyBorder="1" applyAlignment="1">
      <alignment horizontal="center" vertical="top"/>
    </xf>
    <xf numFmtId="49" fontId="0" fillId="0" borderId="5" xfId="13"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portal.eias.ru/Portal/DownloadPage.aspx?type=12&amp;guid=dce14a13-dbf9-4b5c-ae1e-4db650865fe6"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portal.eias.ru/Portal/DownloadPage.aspx?type=12&amp;guid=05f285ee-1f67-4539-b0dd-a7660c7f8ae0" TargetMode="External"/><Relationship Id="rId2" Type="http://schemas.openxmlformats.org/officeDocument/2006/relationships/hyperlink" Target="https://portal.eias.ru/Portal/DownloadPage.aspx?type=12&amp;guid=05f285ee-1f67-4539-b0dd-a7660c7f8ae0" TargetMode="External"/><Relationship Id="rId1" Type="http://schemas.openxmlformats.org/officeDocument/2006/relationships/hyperlink" Target="https://portal.eias.ru/Portal/DownloadPage.aspx?type=12&amp;guid=05f285ee-1f67-4539-b0dd-a7660c7f8ae0" TargetMode="External"/><Relationship Id="rId6" Type="http://schemas.openxmlformats.org/officeDocument/2006/relationships/drawing" Target="../drawings/drawing8.xml"/><Relationship Id="rId5" Type="http://schemas.openxmlformats.org/officeDocument/2006/relationships/printerSettings" Target="../printerSettings/printerSettings6.bin"/><Relationship Id="rId4" Type="http://schemas.openxmlformats.org/officeDocument/2006/relationships/hyperlink" Target="https://portal.eias.ru/Portal/DownloadPage.aspx?type=12&amp;guid=05f285ee-1f67-4539-b0dd-a7660c7f8ae0"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912" customWidth="1"/>
    <col min="2" max="2" width="9.140625" style="912" customWidth="1"/>
    <col min="3" max="3" width="16.42578125" style="912" customWidth="1"/>
    <col min="4" max="25" width="6.28515625" style="912" customWidth="1"/>
    <col min="26" max="28" width="11" style="912"/>
  </cols>
  <sheetData>
    <row r="1" spans="1:28" ht="15.75" customHeight="1">
      <c r="A1" s="908"/>
      <c r="B1" s="909"/>
      <c r="C1" s="909"/>
      <c r="D1" s="909"/>
      <c r="E1" s="909"/>
      <c r="F1" s="909"/>
      <c r="G1" s="909"/>
      <c r="H1" s="909"/>
      <c r="I1" s="909"/>
      <c r="J1" s="909"/>
      <c r="K1" s="909"/>
      <c r="L1" s="909"/>
      <c r="M1" s="909"/>
      <c r="N1" s="909"/>
      <c r="O1" s="909"/>
      <c r="P1" s="909"/>
      <c r="Q1" s="909"/>
      <c r="R1" s="909"/>
      <c r="S1" s="909"/>
      <c r="T1" s="909"/>
      <c r="U1" s="909"/>
      <c r="V1" s="909"/>
      <c r="W1" s="909"/>
      <c r="X1" s="909"/>
      <c r="Y1" s="910"/>
      <c r="Z1" s="909"/>
      <c r="AA1" s="911" t="s">
        <v>0</v>
      </c>
      <c r="AB1" s="909"/>
    </row>
    <row r="2" spans="1:28" ht="17.25" customHeight="1">
      <c r="A2" s="909"/>
      <c r="B2" s="1119" t="s">
        <v>1</v>
      </c>
      <c r="C2" s="1119"/>
      <c r="D2" s="1119"/>
      <c r="E2" s="1119"/>
      <c r="F2" s="1119"/>
      <c r="G2" s="1119"/>
      <c r="H2" s="1119"/>
      <c r="I2" s="1119"/>
      <c r="J2" s="1119"/>
      <c r="K2" s="1119"/>
      <c r="L2" s="1119"/>
      <c r="M2" s="1119"/>
      <c r="N2" s="1119"/>
      <c r="O2" s="1119"/>
      <c r="P2" s="1119"/>
      <c r="Q2" s="913"/>
      <c r="R2" s="913"/>
      <c r="S2" s="913"/>
      <c r="T2" s="913"/>
      <c r="U2" s="913"/>
      <c r="V2" s="914"/>
      <c r="W2" s="913"/>
      <c r="X2" s="913"/>
      <c r="Y2" s="910"/>
      <c r="Z2" s="909"/>
      <c r="AA2" s="911"/>
      <c r="AB2" s="909"/>
    </row>
    <row r="3" spans="1:28" ht="15.75" customHeight="1">
      <c r="A3" s="909"/>
      <c r="B3" s="1120" t="s">
        <v>2</v>
      </c>
      <c r="C3" s="1120"/>
      <c r="D3" s="1120"/>
      <c r="E3" s="1120"/>
      <c r="F3" s="1120"/>
      <c r="G3" s="1120"/>
      <c r="H3" s="1120"/>
      <c r="I3" s="1120"/>
      <c r="J3" s="1120"/>
      <c r="K3" s="1120"/>
      <c r="L3" s="1120"/>
      <c r="M3" s="1120"/>
      <c r="N3" s="1120"/>
      <c r="O3" s="1120"/>
      <c r="P3" s="1120"/>
      <c r="Q3" s="914"/>
      <c r="R3" s="914"/>
      <c r="S3" s="913"/>
      <c r="T3" s="913"/>
      <c r="U3" s="913"/>
      <c r="V3" s="914"/>
      <c r="W3" s="914"/>
      <c r="X3" s="914"/>
      <c r="Y3" s="914"/>
      <c r="Z3" s="909"/>
      <c r="AA3" s="911"/>
      <c r="AB3" s="909"/>
    </row>
    <row r="4" spans="1:28" ht="17.25" customHeight="1">
      <c r="A4" s="909"/>
      <c r="B4" s="915"/>
      <c r="C4" s="909"/>
      <c r="D4" s="914"/>
      <c r="E4" s="914"/>
      <c r="F4" s="914"/>
      <c r="G4" s="914"/>
      <c r="H4" s="914"/>
      <c r="I4" s="914"/>
      <c r="J4" s="914"/>
      <c r="K4" s="914"/>
      <c r="L4" s="914"/>
      <c r="M4" s="914"/>
      <c r="N4" s="914"/>
      <c r="O4" s="914"/>
      <c r="P4" s="914"/>
      <c r="Q4" s="914"/>
      <c r="R4" s="914"/>
      <c r="S4" s="914"/>
      <c r="T4" s="914"/>
      <c r="U4" s="914"/>
      <c r="V4" s="914"/>
      <c r="W4" s="914"/>
      <c r="X4" s="914"/>
      <c r="Y4" s="914"/>
      <c r="Z4" s="909"/>
      <c r="AA4" s="911"/>
      <c r="AB4" s="909"/>
    </row>
    <row r="5" spans="1:28" ht="22.5" customHeight="1">
      <c r="A5" s="916"/>
      <c r="B5" s="1121"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1122"/>
      <c r="D5" s="1122"/>
      <c r="E5" s="1122"/>
      <c r="F5" s="1122"/>
      <c r="G5" s="1122"/>
      <c r="H5" s="1122"/>
      <c r="I5" s="1122"/>
      <c r="J5" s="1122"/>
      <c r="K5" s="1122"/>
      <c r="L5" s="1122"/>
      <c r="M5" s="1122"/>
      <c r="N5" s="1122"/>
      <c r="O5" s="1122"/>
      <c r="P5" s="1122"/>
      <c r="Q5" s="1122"/>
      <c r="R5" s="1122"/>
      <c r="S5" s="1122"/>
      <c r="T5" s="1122"/>
      <c r="U5" s="1122"/>
      <c r="V5" s="1122"/>
      <c r="W5" s="1122"/>
      <c r="X5" s="1122"/>
      <c r="Y5" s="1123"/>
      <c r="Z5" s="916"/>
      <c r="AA5" s="911"/>
      <c r="AB5" s="916"/>
    </row>
    <row r="6" spans="1:28" ht="15" customHeight="1">
      <c r="A6" s="917"/>
      <c r="B6" s="1111" t="s">
        <v>3</v>
      </c>
      <c r="C6" s="1114"/>
      <c r="D6" s="918"/>
      <c r="E6" s="918"/>
      <c r="F6" s="918"/>
      <c r="G6" s="918"/>
      <c r="H6" s="918"/>
      <c r="I6" s="918"/>
      <c r="J6" s="918"/>
      <c r="K6" s="918"/>
      <c r="L6" s="918"/>
      <c r="M6" s="918"/>
      <c r="N6" s="918"/>
      <c r="O6" s="918"/>
      <c r="P6" s="918"/>
      <c r="Q6" s="918"/>
      <c r="R6" s="918"/>
      <c r="S6" s="918"/>
      <c r="T6" s="918"/>
      <c r="U6" s="918"/>
      <c r="V6" s="918"/>
      <c r="W6" s="918"/>
      <c r="X6" s="918"/>
      <c r="Y6" s="919"/>
      <c r="Z6" s="920"/>
      <c r="AA6" s="921"/>
      <c r="AB6" s="921"/>
    </row>
    <row r="7" spans="1:28" ht="15" customHeight="1">
      <c r="A7" s="917"/>
      <c r="B7" s="1111"/>
      <c r="C7" s="1114"/>
      <c r="D7" s="918"/>
      <c r="E7" s="918"/>
      <c r="F7" s="922"/>
      <c r="G7" s="922"/>
      <c r="H7" s="922"/>
      <c r="I7" s="922"/>
      <c r="J7" s="922"/>
      <c r="K7" s="922"/>
      <c r="L7" s="922"/>
      <c r="M7" s="922"/>
      <c r="N7" s="922"/>
      <c r="O7" s="918"/>
      <c r="P7" s="922"/>
      <c r="Q7" s="922"/>
      <c r="R7" s="922"/>
      <c r="S7" s="922"/>
      <c r="T7" s="922"/>
      <c r="U7" s="922"/>
      <c r="V7" s="922"/>
      <c r="W7" s="922"/>
      <c r="X7" s="922"/>
      <c r="Y7" s="919"/>
      <c r="Z7" s="920"/>
      <c r="AA7" s="921"/>
      <c r="AB7" s="921"/>
    </row>
    <row r="8" spans="1:28" ht="15" customHeight="1">
      <c r="A8" s="917"/>
      <c r="B8" s="1111"/>
      <c r="C8" s="1114"/>
      <c r="D8" s="923"/>
      <c r="E8" s="924" t="s">
        <v>4</v>
      </c>
      <c r="F8" s="1124" t="s">
        <v>5</v>
      </c>
      <c r="G8" s="1113"/>
      <c r="H8" s="1113"/>
      <c r="I8" s="1113"/>
      <c r="J8" s="1113"/>
      <c r="K8" s="1113"/>
      <c r="L8" s="1113"/>
      <c r="M8" s="1113"/>
      <c r="N8" s="923"/>
      <c r="O8" s="925" t="s">
        <v>4</v>
      </c>
      <c r="P8" s="1125" t="s">
        <v>6</v>
      </c>
      <c r="Q8" s="1126"/>
      <c r="R8" s="1126"/>
      <c r="S8" s="1126"/>
      <c r="T8" s="1126"/>
      <c r="U8" s="1126"/>
      <c r="V8" s="1126"/>
      <c r="W8" s="1126"/>
      <c r="X8" s="1126"/>
      <c r="Y8" s="919"/>
      <c r="Z8" s="920"/>
      <c r="AA8" s="921"/>
      <c r="AB8" s="921"/>
    </row>
    <row r="9" spans="1:28" ht="15" customHeight="1">
      <c r="A9" s="917"/>
      <c r="B9" s="1111"/>
      <c r="C9" s="1114"/>
      <c r="D9" s="923"/>
      <c r="E9" s="926" t="s">
        <v>4</v>
      </c>
      <c r="F9" s="1124" t="s">
        <v>7</v>
      </c>
      <c r="G9" s="1113"/>
      <c r="H9" s="1113"/>
      <c r="I9" s="1113"/>
      <c r="J9" s="1113"/>
      <c r="K9" s="1113"/>
      <c r="L9" s="1113"/>
      <c r="M9" s="1113"/>
      <c r="N9" s="923"/>
      <c r="O9" s="927" t="s">
        <v>4</v>
      </c>
      <c r="P9" s="1125" t="s">
        <v>8</v>
      </c>
      <c r="Q9" s="1126"/>
      <c r="R9" s="1126"/>
      <c r="S9" s="1126"/>
      <c r="T9" s="1126"/>
      <c r="U9" s="1126"/>
      <c r="V9" s="1126"/>
      <c r="W9" s="1126"/>
      <c r="X9" s="1126"/>
      <c r="Y9" s="919"/>
      <c r="Z9" s="920"/>
      <c r="AA9" s="921"/>
      <c r="AB9" s="921"/>
    </row>
    <row r="10" spans="1:28" ht="30" customHeight="1">
      <c r="A10" s="917"/>
      <c r="B10" s="1111"/>
      <c r="C10" s="1112"/>
      <c r="D10" s="928"/>
      <c r="E10" s="929"/>
      <c r="F10" s="922"/>
      <c r="G10" s="922"/>
      <c r="H10" s="922"/>
      <c r="I10" s="922"/>
      <c r="J10" s="922"/>
      <c r="K10" s="922"/>
      <c r="L10" s="922"/>
      <c r="M10" s="922"/>
      <c r="N10" s="922"/>
      <c r="O10" s="929"/>
      <c r="P10" s="922"/>
      <c r="Q10" s="922"/>
      <c r="R10" s="922"/>
      <c r="S10" s="922"/>
      <c r="T10" s="922"/>
      <c r="U10" s="922"/>
      <c r="V10" s="922"/>
      <c r="W10" s="922"/>
      <c r="X10" s="922"/>
      <c r="Y10" s="919"/>
      <c r="Z10" s="920"/>
      <c r="AA10" s="921"/>
      <c r="AB10" s="921"/>
    </row>
    <row r="11" spans="1:28" ht="19.5" customHeight="1">
      <c r="A11" s="917"/>
      <c r="B11" s="1109" t="s">
        <v>9</v>
      </c>
      <c r="C11" s="1110"/>
      <c r="D11" s="923"/>
      <c r="E11" s="930"/>
      <c r="F11" s="930"/>
      <c r="G11" s="930"/>
      <c r="H11" s="930"/>
      <c r="I11" s="930"/>
      <c r="J11" s="930"/>
      <c r="K11" s="930"/>
      <c r="L11" s="930"/>
      <c r="M11" s="930"/>
      <c r="N11" s="930"/>
      <c r="O11" s="930"/>
      <c r="P11" s="930"/>
      <c r="Q11" s="930"/>
      <c r="R11" s="930"/>
      <c r="S11" s="930"/>
      <c r="T11" s="930"/>
      <c r="U11" s="930"/>
      <c r="V11" s="930"/>
      <c r="W11" s="930"/>
      <c r="X11" s="930"/>
      <c r="Y11" s="919"/>
      <c r="Z11" s="920"/>
      <c r="AA11" s="921"/>
      <c r="AB11" s="921"/>
    </row>
    <row r="12" spans="1:28" ht="69" customHeight="1">
      <c r="A12" s="917"/>
      <c r="B12" s="1111"/>
      <c r="C12" s="1112"/>
      <c r="D12" s="931"/>
      <c r="E12" s="1113" t="s">
        <v>10</v>
      </c>
      <c r="F12" s="1113"/>
      <c r="G12" s="1113"/>
      <c r="H12" s="1113"/>
      <c r="I12" s="1113"/>
      <c r="J12" s="1113"/>
      <c r="K12" s="1113"/>
      <c r="L12" s="1113"/>
      <c r="M12" s="1113"/>
      <c r="N12" s="1113"/>
      <c r="O12" s="1113"/>
      <c r="P12" s="1113"/>
      <c r="Q12" s="1113"/>
      <c r="R12" s="1113"/>
      <c r="S12" s="1113"/>
      <c r="T12" s="1113"/>
      <c r="U12" s="1113"/>
      <c r="V12" s="1113"/>
      <c r="W12" s="1113"/>
      <c r="X12" s="1113"/>
      <c r="Y12" s="919"/>
      <c r="Z12" s="920"/>
      <c r="AA12" s="921"/>
      <c r="AB12" s="921"/>
    </row>
    <row r="13" spans="1:28" ht="15" customHeight="1">
      <c r="A13" s="917"/>
      <c r="B13" s="1109" t="s">
        <v>11</v>
      </c>
      <c r="C13" s="1110"/>
      <c r="D13" s="918"/>
      <c r="E13" s="930"/>
      <c r="F13" s="930"/>
      <c r="G13" s="930"/>
      <c r="H13" s="930"/>
      <c r="I13" s="930"/>
      <c r="J13" s="930"/>
      <c r="K13" s="930"/>
      <c r="L13" s="930"/>
      <c r="M13" s="930"/>
      <c r="N13" s="930"/>
      <c r="O13" s="930"/>
      <c r="P13" s="930"/>
      <c r="Q13" s="930"/>
      <c r="R13" s="930"/>
      <c r="S13" s="930"/>
      <c r="T13" s="930"/>
      <c r="U13" s="930"/>
      <c r="V13" s="930"/>
      <c r="W13" s="930"/>
      <c r="X13" s="930"/>
      <c r="Y13" s="919"/>
      <c r="Z13" s="920"/>
      <c r="AA13" s="921"/>
      <c r="AB13" s="921"/>
    </row>
    <row r="14" spans="1:28" ht="57" customHeight="1">
      <c r="A14" s="917"/>
      <c r="B14" s="1111"/>
      <c r="C14" s="1114"/>
      <c r="D14" s="923"/>
      <c r="E14" s="1117" t="s">
        <v>12</v>
      </c>
      <c r="F14" s="1117"/>
      <c r="G14" s="1117"/>
      <c r="H14" s="1117"/>
      <c r="I14" s="1117"/>
      <c r="J14" s="1117"/>
      <c r="K14" s="1117"/>
      <c r="L14" s="1117"/>
      <c r="M14" s="1117"/>
      <c r="N14" s="1117"/>
      <c r="O14" s="1117"/>
      <c r="P14" s="1117"/>
      <c r="Q14" s="1117"/>
      <c r="R14" s="1117"/>
      <c r="S14" s="1117"/>
      <c r="T14" s="1117"/>
      <c r="U14" s="1117"/>
      <c r="V14" s="1117"/>
      <c r="W14" s="1117"/>
      <c r="X14" s="1117"/>
      <c r="Y14" s="919"/>
      <c r="Z14" s="920"/>
      <c r="AA14" s="921"/>
      <c r="AB14" s="921"/>
    </row>
    <row r="15" spans="1:28" ht="16.5" customHeight="1">
      <c r="A15" s="917"/>
      <c r="B15" s="1115"/>
      <c r="C15" s="1116"/>
      <c r="D15" s="932"/>
      <c r="E15" s="933"/>
      <c r="F15" s="933"/>
      <c r="G15" s="933"/>
      <c r="H15" s="933"/>
      <c r="I15" s="933"/>
      <c r="J15" s="933"/>
      <c r="K15" s="933"/>
      <c r="L15" s="933"/>
      <c r="M15" s="933"/>
      <c r="N15" s="933"/>
      <c r="O15" s="933"/>
      <c r="P15" s="933"/>
      <c r="Q15" s="933"/>
      <c r="R15" s="933"/>
      <c r="S15" s="933"/>
      <c r="T15" s="933"/>
      <c r="U15" s="933"/>
      <c r="V15" s="933"/>
      <c r="W15" s="933"/>
      <c r="X15" s="933"/>
      <c r="Y15" s="934"/>
      <c r="Z15" s="920"/>
      <c r="AA15" s="935"/>
      <c r="AB15" s="921"/>
    </row>
    <row r="16" spans="1:28" ht="95.25" customHeight="1">
      <c r="A16" s="909"/>
      <c r="B16" s="1117"/>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909"/>
      <c r="AA16" s="911"/>
      <c r="AB16" s="909"/>
    </row>
    <row r="17" spans="1:28" ht="14.25" customHeight="1">
      <c r="A17" s="909"/>
      <c r="B17" s="909"/>
      <c r="C17" s="909"/>
      <c r="D17" s="909"/>
      <c r="E17" s="909"/>
      <c r="F17" s="909"/>
      <c r="G17" s="909"/>
      <c r="H17" s="909"/>
      <c r="I17" s="909"/>
      <c r="J17" s="909"/>
      <c r="K17" s="909"/>
      <c r="L17" s="909"/>
      <c r="M17" s="909"/>
      <c r="N17" s="909"/>
      <c r="O17" s="909"/>
      <c r="P17" s="909"/>
      <c r="Q17" s="909"/>
      <c r="R17" s="909"/>
      <c r="S17" s="909"/>
      <c r="T17" s="909"/>
      <c r="U17" s="909"/>
      <c r="V17" s="909"/>
      <c r="W17" s="909"/>
      <c r="X17" s="909"/>
      <c r="Y17" s="910"/>
      <c r="Z17" s="909"/>
      <c r="AA17" s="911"/>
      <c r="AB17" s="909"/>
    </row>
    <row r="18" spans="1:28" ht="14.25" customHeight="1">
      <c r="A18" s="909"/>
      <c r="B18" s="909"/>
      <c r="C18" s="909"/>
      <c r="D18" s="909"/>
      <c r="E18" s="909"/>
      <c r="F18" s="909"/>
      <c r="G18" s="909"/>
      <c r="H18" s="909"/>
      <c r="I18" s="909"/>
      <c r="J18" s="909"/>
      <c r="K18" s="909"/>
      <c r="L18" s="909"/>
      <c r="M18" s="909"/>
      <c r="N18" s="909"/>
      <c r="O18" s="909"/>
      <c r="P18" s="909"/>
      <c r="Q18" s="909"/>
      <c r="R18" s="909"/>
      <c r="S18" s="909"/>
      <c r="T18" s="909"/>
      <c r="U18" s="909"/>
      <c r="V18" s="909"/>
      <c r="W18" s="909"/>
      <c r="X18" s="909"/>
      <c r="Y18" s="910"/>
      <c r="Z18" s="909"/>
      <c r="AA18" s="911"/>
      <c r="AB18" s="909"/>
    </row>
    <row r="19" spans="1:28" ht="14.25" customHeight="1">
      <c r="A19" s="909"/>
      <c r="B19" s="909"/>
      <c r="C19" s="909"/>
      <c r="D19" s="909"/>
      <c r="E19" s="909"/>
      <c r="F19" s="909"/>
      <c r="G19" s="909"/>
      <c r="H19" s="909"/>
      <c r="I19" s="909"/>
      <c r="J19" s="909"/>
      <c r="K19" s="909"/>
      <c r="L19" s="909"/>
      <c r="M19" s="909"/>
      <c r="N19" s="909"/>
      <c r="O19" s="909"/>
      <c r="P19" s="909"/>
      <c r="Q19" s="909"/>
      <c r="R19" s="909"/>
      <c r="S19" s="909"/>
      <c r="T19" s="909"/>
      <c r="U19" s="909"/>
      <c r="V19" s="909"/>
      <c r="W19" s="909"/>
      <c r="X19" s="909"/>
      <c r="Y19" s="910"/>
      <c r="Z19" s="909"/>
      <c r="AA19" s="911"/>
      <c r="AB19" s="909"/>
    </row>
    <row r="20" spans="1:28" ht="14.25" customHeight="1">
      <c r="A20" s="909"/>
      <c r="B20" s="909"/>
      <c r="C20" s="909"/>
      <c r="D20" s="909"/>
      <c r="E20" s="909"/>
      <c r="F20" s="909"/>
      <c r="G20" s="909"/>
      <c r="H20" s="909"/>
      <c r="I20" s="909"/>
      <c r="J20" s="909"/>
      <c r="K20" s="909"/>
      <c r="L20" s="909"/>
      <c r="M20" s="909"/>
      <c r="N20" s="909"/>
      <c r="O20" s="909"/>
      <c r="P20" s="909"/>
      <c r="Q20" s="909"/>
      <c r="R20" s="909"/>
      <c r="S20" s="909"/>
      <c r="T20" s="909"/>
      <c r="U20" s="909"/>
      <c r="V20" s="909"/>
      <c r="W20" s="909"/>
      <c r="X20" s="909"/>
      <c r="Y20" s="910"/>
      <c r="Z20" s="909"/>
      <c r="AA20" s="911"/>
      <c r="AB20" s="909"/>
    </row>
    <row r="21" spans="1:28" ht="14.25" customHeight="1">
      <c r="A21" s="909"/>
      <c r="B21" s="909"/>
      <c r="C21" s="909"/>
      <c r="D21" s="909"/>
      <c r="E21" s="909"/>
      <c r="F21" s="909"/>
      <c r="G21" s="909"/>
      <c r="H21" s="909"/>
      <c r="I21" s="909"/>
      <c r="J21" s="909"/>
      <c r="K21" s="909"/>
      <c r="L21" s="909"/>
      <c r="M21" s="909"/>
      <c r="N21" s="909"/>
      <c r="O21" s="909"/>
      <c r="P21" s="909"/>
      <c r="Q21" s="909"/>
      <c r="R21" s="909"/>
      <c r="S21" s="909"/>
      <c r="T21" s="909"/>
      <c r="U21" s="909"/>
      <c r="V21" s="909"/>
      <c r="W21" s="909"/>
      <c r="X21" s="909"/>
      <c r="Y21" s="910"/>
      <c r="Z21" s="909"/>
      <c r="AA21" s="911"/>
      <c r="AB21" s="90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7" hidden="1" customWidth="1"/>
    <col min="2" max="3" width="9.140625" style="10" hidden="1" customWidth="1"/>
    <col min="4" max="4" width="3" style="74" customWidth="1"/>
    <col min="5" max="5" width="6" style="10" customWidth="1"/>
    <col min="6" max="6" width="1.7109375" style="10" hidden="1" customWidth="1"/>
    <col min="7" max="8" width="30" style="10" customWidth="1"/>
    <col min="9" max="9" width="8" style="10" customWidth="1"/>
    <col min="10" max="10" width="12.140625" style="10" customWidth="1"/>
    <col min="11" max="11" width="46" style="10" customWidth="1"/>
    <col min="12" max="12" width="100" style="10" customWidth="1"/>
    <col min="13" max="13" width="7" style="44" customWidth="1"/>
    <col min="14" max="22" width="10" style="10" customWidth="1"/>
    <col min="23" max="23" width="10.5703125" style="10" hidden="1"/>
  </cols>
  <sheetData>
    <row r="1" spans="1:23" s="65" customFormat="1" ht="5.25" hidden="1" customHeight="1">
      <c r="D1" s="119"/>
      <c r="G1" s="65" t="s">
        <v>81</v>
      </c>
      <c r="H1" s="65" t="s">
        <v>82</v>
      </c>
      <c r="I1" s="65" t="s">
        <v>83</v>
      </c>
      <c r="P1" s="65" t="s">
        <v>81</v>
      </c>
      <c r="Q1" s="65" t="s">
        <v>82</v>
      </c>
      <c r="R1" s="65" t="s">
        <v>83</v>
      </c>
      <c r="W1" s="65" t="s">
        <v>14</v>
      </c>
    </row>
    <row r="2" spans="1:23" s="65" customFormat="1" ht="5.25" hidden="1" customHeight="1">
      <c r="D2" s="119"/>
      <c r="W2" s="65">
        <v>0</v>
      </c>
    </row>
    <row r="3" spans="1:23" s="133" customFormat="1" ht="5.25" customHeight="1">
      <c r="A3" s="271"/>
      <c r="D3" s="276"/>
      <c r="E3" s="131"/>
      <c r="F3" s="131"/>
      <c r="G3" s="131"/>
      <c r="H3" s="131"/>
      <c r="I3" s="272"/>
      <c r="J3" s="273"/>
      <c r="K3" s="273"/>
      <c r="L3" s="273"/>
      <c r="W3" s="133">
        <v>5</v>
      </c>
    </row>
    <row r="4" spans="1:23" ht="23.25" customHeight="1">
      <c r="D4" s="22"/>
      <c r="E4" s="1139" t="s">
        <v>388</v>
      </c>
      <c r="F4" s="1139"/>
      <c r="G4" s="1140"/>
      <c r="H4" s="1140"/>
      <c r="I4" s="1141"/>
      <c r="J4" s="278"/>
      <c r="K4" s="250"/>
      <c r="L4" s="250"/>
      <c r="W4" s="10">
        <v>22</v>
      </c>
    </row>
    <row r="5" spans="1:23" s="10" customFormat="1" ht="18" customHeight="1">
      <c r="A5" s="7"/>
      <c r="D5" s="22"/>
      <c r="E5" s="1258" t="str">
        <f>IF(org=0,"Не определено",org)</f>
        <v>Общество с ограниченной ответственностью "Березовский рудник"</v>
      </c>
      <c r="F5" s="1258"/>
      <c r="G5" s="1259"/>
      <c r="H5" s="1259"/>
      <c r="I5" s="1260"/>
      <c r="J5" s="278"/>
      <c r="K5" s="250"/>
      <c r="L5" s="250"/>
      <c r="M5" s="44"/>
      <c r="W5" s="10">
        <v>17</v>
      </c>
    </row>
    <row r="6" spans="1:23" s="133" customFormat="1" ht="11.45" customHeight="1">
      <c r="A6" s="271"/>
      <c r="D6" s="276"/>
      <c r="E6" s="131"/>
      <c r="F6" s="131"/>
      <c r="G6" s="274"/>
      <c r="H6" s="274"/>
      <c r="I6" s="275"/>
      <c r="J6" s="275"/>
      <c r="K6" s="432"/>
      <c r="L6" s="275"/>
      <c r="W6" s="133">
        <v>11</v>
      </c>
    </row>
    <row r="7" spans="1:23" ht="14.65" customHeight="1">
      <c r="D7" s="22"/>
      <c r="E7" s="1243" t="s">
        <v>300</v>
      </c>
      <c r="F7" s="1243"/>
      <c r="G7" s="1244"/>
      <c r="H7" s="1244"/>
      <c r="I7" s="1244"/>
      <c r="J7" s="1244"/>
      <c r="K7" s="1244"/>
      <c r="L7" s="1203" t="s">
        <v>301</v>
      </c>
      <c r="W7" s="10">
        <v>14</v>
      </c>
    </row>
    <row r="8" spans="1:23" ht="48.2" customHeight="1">
      <c r="D8" s="22"/>
      <c r="E8" s="35" t="s">
        <v>86</v>
      </c>
      <c r="F8" s="35"/>
      <c r="G8" s="40" t="s">
        <v>84</v>
      </c>
      <c r="H8" s="40" t="s">
        <v>85</v>
      </c>
      <c r="I8" s="38" t="s">
        <v>83</v>
      </c>
      <c r="J8" s="38" t="s">
        <v>389</v>
      </c>
      <c r="K8" s="38" t="s">
        <v>390</v>
      </c>
      <c r="L8" s="1203"/>
      <c r="W8" s="10">
        <v>46</v>
      </c>
    </row>
    <row r="9" spans="1:23" ht="12" hidden="1" customHeight="1">
      <c r="D9" s="277"/>
      <c r="E9" s="280"/>
      <c r="F9" s="280"/>
      <c r="G9" s="280"/>
      <c r="H9" s="280"/>
      <c r="I9" s="280"/>
      <c r="J9" s="280"/>
      <c r="K9" s="280"/>
      <c r="L9" s="280"/>
      <c r="M9" s="10"/>
      <c r="W9" s="10">
        <v>0</v>
      </c>
    </row>
    <row r="10" spans="1:23" ht="14.25" hidden="1" customHeight="1">
      <c r="A10" s="10"/>
      <c r="D10" s="22"/>
      <c r="E10" s="40">
        <v>0</v>
      </c>
      <c r="F10" s="40"/>
      <c r="G10" s="62"/>
      <c r="H10" s="62"/>
      <c r="I10" s="62"/>
      <c r="J10" s="62"/>
      <c r="K10" s="62"/>
      <c r="L10" s="1256" t="s">
        <v>391</v>
      </c>
      <c r="W10" s="10">
        <v>0</v>
      </c>
    </row>
    <row r="11" spans="1:23" ht="15" hidden="1" customHeight="1">
      <c r="A11" s="1131"/>
      <c r="B11" s="33"/>
      <c r="C11" s="33"/>
      <c r="D11" s="498"/>
      <c r="E11" s="288"/>
      <c r="F11" s="288"/>
      <c r="G11" s="288"/>
      <c r="H11" s="288"/>
      <c r="I11" s="210"/>
      <c r="J11" s="289"/>
      <c r="K11" s="408"/>
      <c r="L11" s="1270"/>
      <c r="M11" s="65"/>
      <c r="N11" s="65"/>
      <c r="O11" s="65"/>
      <c r="P11" s="290"/>
      <c r="Q11" s="290"/>
      <c r="R11" s="291"/>
      <c r="S11" s="65"/>
      <c r="T11" s="65"/>
      <c r="U11" s="65"/>
      <c r="V11" s="65"/>
      <c r="W11" s="10">
        <v>0</v>
      </c>
    </row>
    <row r="12" spans="1:23" s="133" customFormat="1" ht="15" customHeight="1">
      <c r="A12" s="1131"/>
      <c r="B12" s="33"/>
      <c r="C12" s="33"/>
      <c r="D12" s="499"/>
      <c r="E12" s="35">
        <v>1</v>
      </c>
      <c r="F12" s="497">
        <v>23</v>
      </c>
      <c r="G12" s="496"/>
      <c r="H12" s="452"/>
      <c r="I12" s="450"/>
      <c r="J12" s="293" t="s">
        <v>64</v>
      </c>
      <c r="K12" s="114" t="s">
        <v>28</v>
      </c>
      <c r="L12" s="1270"/>
      <c r="M12" s="65"/>
      <c r="N12" s="65"/>
      <c r="O12" s="65"/>
      <c r="P12" s="290" t="s">
        <v>392</v>
      </c>
      <c r="Q12" s="290" t="s">
        <v>393</v>
      </c>
      <c r="R12" s="291" t="s">
        <v>394</v>
      </c>
      <c r="S12" s="65" t="s">
        <v>395</v>
      </c>
      <c r="T12" s="65"/>
      <c r="U12" s="65"/>
      <c r="V12" s="65"/>
      <c r="W12" s="133">
        <v>14</v>
      </c>
    </row>
    <row r="13" spans="1:23" ht="15.75" customHeight="1">
      <c r="A13" s="1131"/>
      <c r="D13" s="22"/>
      <c r="E13" s="152"/>
      <c r="F13" s="297"/>
      <c r="G13" s="51" t="s">
        <v>100</v>
      </c>
      <c r="H13" s="228"/>
      <c r="I13" s="228"/>
      <c r="J13" s="228"/>
      <c r="K13" s="227"/>
      <c r="L13" s="1257"/>
      <c r="M13" s="10"/>
      <c r="W13" s="10">
        <v>15</v>
      </c>
    </row>
    <row r="14" spans="1:23" ht="11.45" customHeight="1">
      <c r="A14" s="271"/>
      <c r="B14" s="133"/>
      <c r="C14" s="133"/>
      <c r="D14" s="281"/>
      <c r="E14" s="133"/>
      <c r="F14" s="133"/>
      <c r="G14" s="133"/>
      <c r="H14" s="133"/>
      <c r="I14" s="133"/>
      <c r="J14" s="133"/>
      <c r="K14" s="133"/>
      <c r="L14" s="133"/>
      <c r="M14" s="133"/>
      <c r="N14" s="133"/>
      <c r="O14" s="133"/>
      <c r="P14" s="133"/>
      <c r="Q14" s="133"/>
      <c r="R14" s="133"/>
      <c r="S14" s="133"/>
      <c r="T14" s="133"/>
      <c r="U14" s="133"/>
      <c r="V14" s="133"/>
      <c r="W14" s="10">
        <v>11</v>
      </c>
    </row>
    <row r="15" spans="1:23" ht="14.65" customHeight="1">
      <c r="D15" s="259"/>
      <c r="E15" s="195"/>
      <c r="F15" s="195"/>
      <c r="G15" s="373"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259"/>
      <c r="I15" s="259"/>
      <c r="J15" s="259"/>
      <c r="K15" s="259"/>
      <c r="L15" s="259"/>
      <c r="W15" s="10">
        <v>14</v>
      </c>
    </row>
    <row r="16" spans="1:23" ht="14.65" customHeight="1">
      <c r="W16" s="10">
        <v>14</v>
      </c>
    </row>
    <row r="17" spans="1:23" ht="14.65" customHeight="1">
      <c r="W17" s="10">
        <v>14</v>
      </c>
    </row>
    <row r="18" spans="1:23" ht="14.65" customHeight="1">
      <c r="W18" s="10">
        <v>14</v>
      </c>
    </row>
    <row r="19" spans="1:23" ht="22.5" hidden="1" customHeight="1">
      <c r="A19" s="7" t="s">
        <v>80</v>
      </c>
      <c r="B19" s="10">
        <v>0</v>
      </c>
      <c r="C19" s="10">
        <v>0</v>
      </c>
      <c r="D19" s="74">
        <v>3</v>
      </c>
      <c r="E19" s="10">
        <v>6</v>
      </c>
      <c r="F19" s="10">
        <v>0</v>
      </c>
      <c r="G19" s="10">
        <v>30</v>
      </c>
      <c r="H19" s="10">
        <v>30</v>
      </c>
      <c r="I19" s="10">
        <v>8</v>
      </c>
      <c r="J19" s="10">
        <v>12</v>
      </c>
      <c r="K19" s="10">
        <v>46</v>
      </c>
      <c r="L19" s="10">
        <v>100</v>
      </c>
      <c r="M19" s="44">
        <v>7</v>
      </c>
      <c r="N19" s="10">
        <v>10</v>
      </c>
      <c r="O19" s="10">
        <v>10</v>
      </c>
      <c r="P19" s="10">
        <v>10</v>
      </c>
      <c r="Q19" s="10">
        <v>10</v>
      </c>
      <c r="R19" s="10">
        <v>10</v>
      </c>
      <c r="S19" s="10">
        <v>10</v>
      </c>
      <c r="T19" s="10">
        <v>10</v>
      </c>
      <c r="U19" s="10">
        <v>10</v>
      </c>
      <c r="V19" s="10">
        <v>10</v>
      </c>
      <c r="W19" s="1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8" hidden="1" customWidth="1"/>
    <col min="13" max="14" width="12.28515625" style="503" hidden="1" customWidth="1"/>
    <col min="15" max="15" width="23.42578125" style="503" hidden="1" customWidth="1"/>
    <col min="16" max="16" width="3" style="32" customWidth="1"/>
    <col min="17" max="18" width="3" style="28" customWidth="1"/>
    <col min="19" max="19" width="12" style="339" customWidth="1"/>
    <col min="20" max="20" width="35"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66"/>
      <c r="B2" s="766"/>
      <c r="C2" s="766"/>
      <c r="D2" s="766"/>
      <c r="E2" s="1283">
        <v>1</v>
      </c>
      <c r="F2" s="766"/>
      <c r="G2" s="766"/>
      <c r="H2" s="766"/>
      <c r="I2" s="766"/>
      <c r="J2" s="766"/>
      <c r="K2" s="766"/>
      <c r="L2" s="767"/>
      <c r="M2" s="423"/>
      <c r="N2" s="423"/>
      <c r="O2" s="423"/>
      <c r="Q2" s="33"/>
      <c r="R2" s="204"/>
      <c r="S2" s="706" t="e">
        <f>INDEX(PT_DIFFERENTIATION_NUM_NTAR,MATCH(A2,PT_DIFFERENTIATION_NTAR_ID,0))</f>
        <v>#N/A</v>
      </c>
      <c r="T2" s="64" t="s">
        <v>121</v>
      </c>
      <c r="U2" s="168"/>
      <c r="V2" s="1277"/>
      <c r="W2" s="1278"/>
      <c r="X2" s="1278"/>
      <c r="Y2" s="1278"/>
      <c r="Z2" s="1278"/>
      <c r="AA2" s="1278"/>
      <c r="AB2" s="1278"/>
      <c r="AC2" s="1279"/>
      <c r="AD2" s="1277" t="e">
        <f>INDEX(PT_DIFFERENTIATION_NTAR,MATCH(A2,PT_DIFFERENTIATION_NTAR_ID,0))</f>
        <v>#N/A</v>
      </c>
      <c r="AE2" s="1278"/>
      <c r="AF2" s="1278"/>
      <c r="AG2" s="1278"/>
      <c r="AH2" s="1278"/>
      <c r="AI2" s="1278"/>
      <c r="AJ2" s="1278"/>
      <c r="AK2" s="1278"/>
      <c r="AL2" s="1279"/>
      <c r="AM2" s="726" t="s">
        <v>396</v>
      </c>
      <c r="AO2" s="66"/>
      <c r="AP2" s="66" t="str">
        <f t="shared" ref="AP2:AP15" si="0">IF(T2="","",T2)</f>
        <v>Наименование тарифа</v>
      </c>
      <c r="AQ2" s="66"/>
      <c r="AR2" s="66"/>
      <c r="AS2" s="10">
        <v>0</v>
      </c>
    </row>
    <row r="3" spans="1:45" ht="21" hidden="1" customHeight="1">
      <c r="A3" s="766"/>
      <c r="B3" s="766"/>
      <c r="C3" s="766"/>
      <c r="D3" s="766"/>
      <c r="E3" s="1284"/>
      <c r="F3" s="1283">
        <v>1</v>
      </c>
      <c r="G3" s="766"/>
      <c r="H3" s="766"/>
      <c r="I3" s="766"/>
      <c r="J3" s="766"/>
      <c r="K3" s="766"/>
      <c r="L3" s="767"/>
      <c r="M3" s="423"/>
      <c r="N3" s="423"/>
      <c r="O3" s="423"/>
      <c r="P3" s="56"/>
      <c r="Q3" s="201"/>
      <c r="R3" s="202"/>
      <c r="S3" s="706" t="e">
        <f>INDEX(PT_DIFFERENTIATION_NUM_TER,MATCH(B3,PT_DIFFERENTIATION_TER_ID,0))</f>
        <v>#N/A</v>
      </c>
      <c r="T3" s="174" t="s">
        <v>397</v>
      </c>
      <c r="U3" s="168"/>
      <c r="V3" s="1277"/>
      <c r="W3" s="1278"/>
      <c r="X3" s="1278"/>
      <c r="Y3" s="1278"/>
      <c r="Z3" s="1278"/>
      <c r="AA3" s="1278"/>
      <c r="AB3" s="1278"/>
      <c r="AC3" s="1279"/>
      <c r="AD3" s="1277" t="e">
        <f>INDEX(PT_DIFFERENTIATION_TER,MATCH(B3,PT_DIFFERENTIATION_TER_ID,0))</f>
        <v>#N/A</v>
      </c>
      <c r="AE3" s="1278"/>
      <c r="AF3" s="1278"/>
      <c r="AG3" s="1278"/>
      <c r="AH3" s="1278"/>
      <c r="AI3" s="1278"/>
      <c r="AJ3" s="1278"/>
      <c r="AK3" s="1278"/>
      <c r="AL3" s="1279"/>
      <c r="AM3" s="726" t="s">
        <v>398</v>
      </c>
      <c r="AO3" s="66"/>
      <c r="AP3" s="66" t="str">
        <f t="shared" si="0"/>
        <v>Территория действия тарифа</v>
      </c>
      <c r="AQ3" s="66"/>
      <c r="AR3" s="66"/>
      <c r="AS3" s="10">
        <v>0</v>
      </c>
    </row>
    <row r="4" spans="1:45" ht="23.25" hidden="1" customHeight="1">
      <c r="A4" s="766"/>
      <c r="B4" s="766"/>
      <c r="C4" s="766"/>
      <c r="D4" s="766"/>
      <c r="E4" s="1284"/>
      <c r="F4" s="1284"/>
      <c r="G4" s="1283">
        <v>1</v>
      </c>
      <c r="H4" s="766"/>
      <c r="I4" s="766"/>
      <c r="J4" s="766"/>
      <c r="K4" s="766"/>
      <c r="L4" s="767"/>
      <c r="M4" s="423"/>
      <c r="N4" s="423"/>
      <c r="O4" s="423"/>
      <c r="P4" s="203"/>
      <c r="Q4" s="201"/>
      <c r="R4" s="202"/>
      <c r="S4" s="706" t="e">
        <f>INDEX(PT_DIFFERENTIATION_NUM_CS,MATCH(C4,PT_DIFFERENTIATION_CS_ID,0))</f>
        <v>#N/A</v>
      </c>
      <c r="T4" s="175" t="s">
        <v>399</v>
      </c>
      <c r="U4" s="168"/>
      <c r="V4" s="1277"/>
      <c r="W4" s="1278"/>
      <c r="X4" s="1278"/>
      <c r="Y4" s="1278"/>
      <c r="Z4" s="1278"/>
      <c r="AA4" s="1278"/>
      <c r="AB4" s="1278"/>
      <c r="AC4" s="1279"/>
      <c r="AD4" s="1277" t="e">
        <f>INDEX(PT_DIFFERENTIATION_CS,MATCH(C4,PT_DIFFERENTIATION_CS_ID,0))</f>
        <v>#N/A</v>
      </c>
      <c r="AE4" s="1278"/>
      <c r="AF4" s="1278"/>
      <c r="AG4" s="1278"/>
      <c r="AH4" s="1278"/>
      <c r="AI4" s="1278"/>
      <c r="AJ4" s="1278"/>
      <c r="AK4" s="1278"/>
      <c r="AL4" s="1279"/>
      <c r="AM4" s="726" t="s">
        <v>400</v>
      </c>
      <c r="AO4" s="66"/>
      <c r="AP4" s="66" t="str">
        <f t="shared" si="0"/>
        <v xml:space="preserve">Наименование системы теплоснабжения </v>
      </c>
      <c r="AQ4" s="66"/>
      <c r="AR4" s="66"/>
      <c r="AS4" s="10">
        <v>0</v>
      </c>
    </row>
    <row r="5" spans="1:45" ht="21" hidden="1" customHeight="1">
      <c r="A5" s="766"/>
      <c r="B5" s="766"/>
      <c r="C5" s="766"/>
      <c r="D5" s="766"/>
      <c r="E5" s="1284"/>
      <c r="F5" s="1284"/>
      <c r="G5" s="1284"/>
      <c r="H5" s="1283">
        <v>1</v>
      </c>
      <c r="I5" s="766"/>
      <c r="J5" s="766"/>
      <c r="K5" s="766"/>
      <c r="L5" s="767"/>
      <c r="M5" s="423"/>
      <c r="N5" s="423"/>
      <c r="O5" s="423"/>
      <c r="P5" s="203"/>
      <c r="Q5" s="201"/>
      <c r="R5" s="202"/>
      <c r="S5" s="706" t="e">
        <f>INDEX(PT_DIFFERENTIATION_NUM_IST_TE,MATCH(D5,PT_DIFFERENTIATION_IST_TE_ID,0))</f>
        <v>#N/A</v>
      </c>
      <c r="T5" s="176" t="s">
        <v>401</v>
      </c>
      <c r="U5" s="168"/>
      <c r="V5" s="1277"/>
      <c r="W5" s="1278"/>
      <c r="X5" s="1278"/>
      <c r="Y5" s="1278"/>
      <c r="Z5" s="1278"/>
      <c r="AA5" s="1278"/>
      <c r="AB5" s="1278"/>
      <c r="AC5" s="1279"/>
      <c r="AD5" s="1277" t="e">
        <f>INDEX(PT_DIFFERENTIATION_IST_TE,MATCH(D5,PT_DIFFERENTIATION_IST_TE_ID,0))</f>
        <v>#N/A</v>
      </c>
      <c r="AE5" s="1278"/>
      <c r="AF5" s="1278"/>
      <c r="AG5" s="1278"/>
      <c r="AH5" s="1278"/>
      <c r="AI5" s="1278"/>
      <c r="AJ5" s="1278"/>
      <c r="AK5" s="1278"/>
      <c r="AL5" s="1279"/>
      <c r="AM5" s="726" t="s">
        <v>402</v>
      </c>
      <c r="AO5" s="66"/>
      <c r="AP5" s="66" t="str">
        <f t="shared" si="0"/>
        <v xml:space="preserve">Источник тепловой энергии  </v>
      </c>
      <c r="AQ5" s="66"/>
      <c r="AR5" s="66"/>
      <c r="AS5" s="10">
        <v>0</v>
      </c>
    </row>
    <row r="6" spans="1:45" ht="47.25" hidden="1" customHeight="1">
      <c r="A6" s="766"/>
      <c r="B6" s="766"/>
      <c r="C6" s="766"/>
      <c r="D6" s="766"/>
      <c r="E6" s="1284"/>
      <c r="F6" s="1284"/>
      <c r="G6" s="1284"/>
      <c r="H6" s="1284"/>
      <c r="I6" s="1285" t="e">
        <f>S5&amp;".1"</f>
        <v>#N/A</v>
      </c>
      <c r="J6" s="766"/>
      <c r="K6" s="766"/>
      <c r="L6" s="767" t="s">
        <v>403</v>
      </c>
      <c r="M6" s="60"/>
      <c r="P6" s="1287">
        <v>1</v>
      </c>
      <c r="Q6" s="119"/>
      <c r="R6" s="205"/>
      <c r="S6" s="706" t="e">
        <f>$I6</f>
        <v>#N/A</v>
      </c>
      <c r="T6" s="161" t="s">
        <v>404</v>
      </c>
      <c r="U6" s="168"/>
      <c r="V6" s="1271"/>
      <c r="W6" s="1272"/>
      <c r="X6" s="1272"/>
      <c r="Y6" s="1272"/>
      <c r="Z6" s="1272"/>
      <c r="AA6" s="1272"/>
      <c r="AB6" s="1272"/>
      <c r="AC6" s="1273"/>
      <c r="AD6" s="1271"/>
      <c r="AE6" s="1272"/>
      <c r="AF6" s="1272"/>
      <c r="AG6" s="1272"/>
      <c r="AH6" s="1272"/>
      <c r="AI6" s="1272"/>
      <c r="AJ6" s="1272"/>
      <c r="AK6" s="1272"/>
      <c r="AL6" s="1273"/>
      <c r="AM6" s="726" t="s">
        <v>405</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66"/>
      <c r="B7" s="766"/>
      <c r="C7" s="766"/>
      <c r="D7" s="766"/>
      <c r="E7" s="1284"/>
      <c r="F7" s="1284"/>
      <c r="G7" s="1284"/>
      <c r="H7" s="1284"/>
      <c r="I7" s="1286"/>
      <c r="J7" s="1285" t="e">
        <f>I6&amp;".1"</f>
        <v>#N/A</v>
      </c>
      <c r="K7" s="766"/>
      <c r="L7" s="767" t="s">
        <v>406</v>
      </c>
      <c r="M7" s="60"/>
      <c r="N7" s="60"/>
      <c r="P7" s="1287"/>
      <c r="Q7" s="1287">
        <v>1</v>
      </c>
      <c r="R7" s="206"/>
      <c r="S7" s="706" t="e">
        <f>$J7</f>
        <v>#N/A</v>
      </c>
      <c r="T7" s="162" t="s">
        <v>407</v>
      </c>
      <c r="U7" s="168"/>
      <c r="V7" s="1271"/>
      <c r="W7" s="1272"/>
      <c r="X7" s="1272"/>
      <c r="Y7" s="1272"/>
      <c r="Z7" s="1272"/>
      <c r="AA7" s="1272"/>
      <c r="AB7" s="1272"/>
      <c r="AC7" s="1273"/>
      <c r="AD7" s="1271"/>
      <c r="AE7" s="1272"/>
      <c r="AF7" s="1272"/>
      <c r="AG7" s="1272"/>
      <c r="AH7" s="1272"/>
      <c r="AI7" s="1272"/>
      <c r="AJ7" s="1272"/>
      <c r="AK7" s="1272"/>
      <c r="AL7" s="1273"/>
      <c r="AM7" s="726" t="s">
        <v>408</v>
      </c>
      <c r="AO7" s="66"/>
      <c r="AP7" s="66" t="str">
        <f t="shared" si="0"/>
        <v>Группа потребителей</v>
      </c>
      <c r="AQ7" s="66"/>
      <c r="AR7" s="66"/>
      <c r="AS7" s="10">
        <v>0</v>
      </c>
    </row>
    <row r="8" spans="1:45" ht="21" hidden="1" customHeight="1">
      <c r="A8" s="766"/>
      <c r="B8" s="766"/>
      <c r="C8" s="766"/>
      <c r="D8" s="766"/>
      <c r="E8" s="1284"/>
      <c r="F8" s="1284"/>
      <c r="G8" s="1284"/>
      <c r="H8" s="1284"/>
      <c r="I8" s="1286"/>
      <c r="J8" s="1286"/>
      <c r="K8" s="1285" t="e">
        <f>J7&amp;".1"</f>
        <v>#N/A</v>
      </c>
      <c r="L8" s="767" t="s">
        <v>409</v>
      </c>
      <c r="M8" s="60"/>
      <c r="N8" s="60"/>
      <c r="O8" s="60"/>
      <c r="P8" s="1287"/>
      <c r="Q8" s="1287"/>
      <c r="R8" s="206">
        <v>1</v>
      </c>
      <c r="S8" s="706" t="e">
        <f>$K8</f>
        <v>#N/A</v>
      </c>
      <c r="T8" s="762"/>
      <c r="U8" s="168"/>
      <c r="V8" s="303"/>
      <c r="W8" s="188"/>
      <c r="X8" s="303"/>
      <c r="Y8" s="725"/>
      <c r="Z8" s="1288"/>
      <c r="AA8" s="1156" t="s">
        <v>64</v>
      </c>
      <c r="AB8" s="1288"/>
      <c r="AC8" s="1156" t="s">
        <v>64</v>
      </c>
      <c r="AD8" s="303"/>
      <c r="AE8" s="188"/>
      <c r="AF8" s="303"/>
      <c r="AG8" s="725"/>
      <c r="AH8" s="1288"/>
      <c r="AI8" s="1156" t="s">
        <v>64</v>
      </c>
      <c r="AJ8" s="1288"/>
      <c r="AK8" s="1156" t="s">
        <v>64</v>
      </c>
      <c r="AL8" s="188"/>
      <c r="AM8" s="1306" t="s">
        <v>410</v>
      </c>
      <c r="AN8" s="65" t="e">
        <f ca="1">STRCHECKDATE(V9:AL9)</f>
        <v>#NAME?</v>
      </c>
      <c r="AO8" s="66"/>
      <c r="AP8" s="66" t="str">
        <f t="shared" si="0"/>
        <v/>
      </c>
      <c r="AQ8" s="66"/>
      <c r="AR8" s="66"/>
      <c r="AS8" s="10">
        <v>0</v>
      </c>
    </row>
    <row r="9" spans="1:45" ht="0.75" hidden="1" customHeight="1">
      <c r="A9" s="766"/>
      <c r="B9" s="766"/>
      <c r="C9" s="766"/>
      <c r="D9" s="766"/>
      <c r="E9" s="1284"/>
      <c r="F9" s="1284"/>
      <c r="G9" s="1284"/>
      <c r="H9" s="1284"/>
      <c r="I9" s="1286"/>
      <c r="J9" s="1286"/>
      <c r="K9" s="1285"/>
      <c r="L9" s="767"/>
      <c r="M9" s="60"/>
      <c r="N9" s="60"/>
      <c r="O9" s="60"/>
      <c r="P9" s="1287"/>
      <c r="Q9" s="1287"/>
      <c r="R9" s="206"/>
      <c r="S9" s="62"/>
      <c r="T9" s="168"/>
      <c r="U9" s="168"/>
      <c r="V9" s="188"/>
      <c r="W9" s="188"/>
      <c r="X9" s="188"/>
      <c r="Y9" s="189" t="str">
        <f>Z8&amp;"-"&amp;AB8</f>
        <v>-</v>
      </c>
      <c r="Z9" s="1289"/>
      <c r="AA9" s="1156"/>
      <c r="AB9" s="1289"/>
      <c r="AC9" s="1156"/>
      <c r="AD9" s="188"/>
      <c r="AE9" s="188"/>
      <c r="AF9" s="188"/>
      <c r="AG9" s="189" t="str">
        <f>AH8&amp;"-"&amp;AJ8</f>
        <v>-</v>
      </c>
      <c r="AH9" s="1289"/>
      <c r="AI9" s="1156"/>
      <c r="AJ9" s="1289"/>
      <c r="AK9" s="1156"/>
      <c r="AL9" s="188"/>
      <c r="AM9" s="1307"/>
      <c r="AO9" s="66"/>
      <c r="AP9" s="66" t="str">
        <f t="shared" si="0"/>
        <v/>
      </c>
      <c r="AQ9" s="66"/>
      <c r="AR9" s="66"/>
      <c r="AS9" s="10">
        <v>0</v>
      </c>
    </row>
    <row r="10" spans="1:45" ht="15" hidden="1" customHeight="1">
      <c r="A10" s="766"/>
      <c r="B10" s="766"/>
      <c r="C10" s="766"/>
      <c r="D10" s="766"/>
      <c r="E10" s="1284"/>
      <c r="F10" s="1284"/>
      <c r="G10" s="1284"/>
      <c r="H10" s="1284"/>
      <c r="I10" s="1286"/>
      <c r="J10" s="1285"/>
      <c r="K10" s="766"/>
      <c r="L10" s="767"/>
      <c r="M10" s="60"/>
      <c r="N10" s="60"/>
      <c r="P10" s="1287"/>
      <c r="Q10" s="1287"/>
      <c r="R10" s="205"/>
      <c r="S10" s="739"/>
      <c r="T10" s="164" t="s">
        <v>411</v>
      </c>
      <c r="U10" s="210"/>
      <c r="V10" s="210"/>
      <c r="W10" s="210"/>
      <c r="X10" s="210"/>
      <c r="Y10" s="210"/>
      <c r="Z10" s="210"/>
      <c r="AA10" s="210"/>
      <c r="AB10" s="210"/>
      <c r="AC10" s="210"/>
      <c r="AD10" s="210"/>
      <c r="AE10" s="210"/>
      <c r="AF10" s="210"/>
      <c r="AG10" s="210"/>
      <c r="AH10" s="210"/>
      <c r="AI10" s="210"/>
      <c r="AJ10" s="210"/>
      <c r="AK10" s="210"/>
      <c r="AL10" s="187"/>
      <c r="AM10" s="1308"/>
      <c r="AO10" s="66"/>
      <c r="AP10" s="66" t="str">
        <f t="shared" si="0"/>
        <v>Добавить вид теплоносителя (параметры теплоносителя)</v>
      </c>
      <c r="AQ10" s="66"/>
      <c r="AR10" s="66"/>
      <c r="AS10" s="10">
        <v>0</v>
      </c>
    </row>
    <row r="11" spans="1:45" ht="15" hidden="1" customHeight="1">
      <c r="A11" s="766"/>
      <c r="B11" s="766"/>
      <c r="C11" s="766"/>
      <c r="D11" s="766"/>
      <c r="E11" s="1284"/>
      <c r="F11" s="1284"/>
      <c r="G11" s="1284"/>
      <c r="H11" s="1284"/>
      <c r="I11" s="1285"/>
      <c r="J11" s="766"/>
      <c r="K11" s="766"/>
      <c r="L11" s="767"/>
      <c r="M11" s="60"/>
      <c r="P11" s="1287"/>
      <c r="Q11" s="119"/>
      <c r="R11" s="205"/>
      <c r="S11" s="739"/>
      <c r="T11" s="163" t="s">
        <v>412</v>
      </c>
      <c r="U11" s="210"/>
      <c r="V11" s="210"/>
      <c r="W11" s="210"/>
      <c r="X11" s="210"/>
      <c r="Y11" s="210"/>
      <c r="Z11" s="210"/>
      <c r="AA11" s="210"/>
      <c r="AB11" s="210"/>
      <c r="AC11" s="209"/>
      <c r="AD11" s="210"/>
      <c r="AE11" s="210"/>
      <c r="AF11" s="210"/>
      <c r="AG11" s="210"/>
      <c r="AH11" s="210"/>
      <c r="AI11" s="210"/>
      <c r="AJ11" s="210"/>
      <c r="AK11" s="209"/>
      <c r="AL11" s="210"/>
      <c r="AM11" s="171"/>
      <c r="AO11" s="66"/>
      <c r="AP11" s="66" t="str">
        <f t="shared" si="0"/>
        <v>Добавить группу потребителей</v>
      </c>
      <c r="AQ11" s="66"/>
      <c r="AR11" s="66"/>
      <c r="AS11" s="10">
        <v>0</v>
      </c>
    </row>
    <row r="12" spans="1:45" ht="14.25" hidden="1" customHeight="1">
      <c r="A12" s="766"/>
      <c r="B12" s="766"/>
      <c r="C12" s="766"/>
      <c r="D12" s="766"/>
      <c r="E12" s="1284"/>
      <c r="F12" s="1284"/>
      <c r="G12" s="1284"/>
      <c r="H12" s="1283"/>
      <c r="I12" s="766"/>
      <c r="J12" s="766"/>
      <c r="K12" s="766"/>
      <c r="L12" s="767"/>
      <c r="M12" s="423"/>
      <c r="N12" s="423"/>
      <c r="O12" s="60"/>
      <c r="P12" s="33"/>
      <c r="Q12" s="213"/>
      <c r="R12" s="204"/>
      <c r="S12" s="739"/>
      <c r="T12" s="208" t="s">
        <v>413</v>
      </c>
      <c r="U12" s="210"/>
      <c r="V12" s="210"/>
      <c r="W12" s="210"/>
      <c r="X12" s="210"/>
      <c r="Y12" s="210"/>
      <c r="Z12" s="210"/>
      <c r="AA12" s="210"/>
      <c r="AB12" s="210"/>
      <c r="AC12" s="209"/>
      <c r="AD12" s="210"/>
      <c r="AE12" s="210"/>
      <c r="AF12" s="210"/>
      <c r="AG12" s="210"/>
      <c r="AH12" s="210"/>
      <c r="AI12" s="210"/>
      <c r="AJ12" s="210"/>
      <c r="AK12" s="209"/>
      <c r="AL12" s="210"/>
      <c r="AM12" s="171"/>
      <c r="AO12" s="66"/>
      <c r="AP12" s="66" t="str">
        <f t="shared" si="0"/>
        <v>Добавить схему подключения</v>
      </c>
      <c r="AQ12" s="66"/>
      <c r="AR12" s="66"/>
      <c r="AS12" s="10">
        <v>0</v>
      </c>
    </row>
    <row r="13" spans="1:45" s="65" customFormat="1" ht="0.75" hidden="1" customHeight="1">
      <c r="A13" s="142"/>
      <c r="B13" s="142"/>
      <c r="C13" s="142"/>
      <c r="D13" s="142"/>
      <c r="E13" s="1284"/>
      <c r="F13" s="1284"/>
      <c r="G13" s="1283"/>
      <c r="H13" s="142"/>
      <c r="I13" s="142"/>
      <c r="J13" s="142"/>
      <c r="K13" s="142"/>
      <c r="L13" s="343"/>
      <c r="M13" s="290"/>
      <c r="N13" s="290"/>
      <c r="P13" s="101"/>
      <c r="Q13" s="752"/>
      <c r="R13" s="101"/>
      <c r="S13" s="753"/>
      <c r="T13" s="754" t="s">
        <v>414</v>
      </c>
      <c r="U13" s="755"/>
      <c r="V13" s="755"/>
      <c r="W13" s="755"/>
      <c r="X13" s="755"/>
      <c r="Y13" s="755"/>
      <c r="Z13" s="755"/>
      <c r="AA13" s="755"/>
      <c r="AB13" s="755"/>
      <c r="AC13" s="755"/>
      <c r="AD13" s="755"/>
      <c r="AE13" s="755"/>
      <c r="AF13" s="755"/>
      <c r="AG13" s="755"/>
      <c r="AH13" s="755"/>
      <c r="AI13" s="755"/>
      <c r="AJ13" s="755"/>
      <c r="AK13" s="755"/>
      <c r="AL13" s="755"/>
      <c r="AM13" s="755"/>
      <c r="AO13" s="66"/>
      <c r="AP13" s="66" t="str">
        <f t="shared" si="0"/>
        <v>Добавить источник для дифференциации</v>
      </c>
      <c r="AQ13" s="66"/>
      <c r="AR13" s="66"/>
      <c r="AS13" s="65">
        <v>0</v>
      </c>
    </row>
    <row r="14" spans="1:45" s="65" customFormat="1" ht="0.75" hidden="1" customHeight="1">
      <c r="A14" s="142"/>
      <c r="B14" s="142"/>
      <c r="C14" s="142"/>
      <c r="D14" s="142"/>
      <c r="E14" s="1284"/>
      <c r="F14" s="1283"/>
      <c r="G14" s="142"/>
      <c r="H14" s="142"/>
      <c r="I14" s="142"/>
      <c r="J14" s="142"/>
      <c r="K14" s="142"/>
      <c r="L14" s="343"/>
      <c r="M14" s="756"/>
      <c r="N14" s="756"/>
      <c r="P14" s="101"/>
      <c r="Q14" s="752"/>
      <c r="R14" s="101"/>
      <c r="S14" s="757"/>
      <c r="T14" s="758" t="s">
        <v>231</v>
      </c>
      <c r="U14" s="310"/>
      <c r="V14" s="310"/>
      <c r="W14" s="310"/>
      <c r="X14" s="310"/>
      <c r="Y14" s="310"/>
      <c r="Z14" s="310"/>
      <c r="AA14" s="310"/>
      <c r="AB14" s="310"/>
      <c r="AC14" s="310"/>
      <c r="AD14" s="310"/>
      <c r="AE14" s="310"/>
      <c r="AF14" s="310"/>
      <c r="AG14" s="310"/>
      <c r="AH14" s="310"/>
      <c r="AI14" s="310"/>
      <c r="AJ14" s="310"/>
      <c r="AK14" s="310"/>
      <c r="AL14" s="310"/>
      <c r="AM14" s="310"/>
      <c r="AO14" s="66"/>
      <c r="AP14" s="66" t="str">
        <f t="shared" si="0"/>
        <v>Добавить централизованную систему для дифференциации</v>
      </c>
      <c r="AQ14" s="66"/>
      <c r="AR14" s="66"/>
      <c r="AS14" s="65">
        <v>0</v>
      </c>
    </row>
    <row r="15" spans="1:45" s="65" customFormat="1" ht="0.75" hidden="1" customHeight="1">
      <c r="A15" s="142"/>
      <c r="B15" s="142"/>
      <c r="C15" s="142"/>
      <c r="D15" s="142"/>
      <c r="E15" s="1283"/>
      <c r="F15" s="142"/>
      <c r="G15" s="142"/>
      <c r="H15" s="142"/>
      <c r="I15" s="142"/>
      <c r="J15" s="142"/>
      <c r="K15" s="142"/>
      <c r="L15" s="343"/>
      <c r="M15" s="756"/>
      <c r="N15" s="756"/>
      <c r="P15" s="101"/>
      <c r="Q15" s="752"/>
      <c r="R15" s="101"/>
      <c r="S15" s="757"/>
      <c r="T15" s="759" t="s">
        <v>232</v>
      </c>
      <c r="U15" s="310"/>
      <c r="V15" s="310"/>
      <c r="W15" s="310"/>
      <c r="X15" s="310"/>
      <c r="Y15" s="310"/>
      <c r="Z15" s="310"/>
      <c r="AA15" s="310"/>
      <c r="AB15" s="310"/>
      <c r="AC15" s="310"/>
      <c r="AD15" s="310"/>
      <c r="AE15" s="310"/>
      <c r="AF15" s="310"/>
      <c r="AG15" s="310"/>
      <c r="AH15" s="310"/>
      <c r="AI15" s="310"/>
      <c r="AJ15" s="310"/>
      <c r="AK15" s="310"/>
      <c r="AL15" s="310"/>
      <c r="AM15" s="310"/>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5"/>
      <c r="AE17" s="365"/>
      <c r="AF17" s="365"/>
      <c r="AG17" s="765"/>
      <c r="AH17" s="1281"/>
      <c r="AI17" s="1280" t="s">
        <v>64</v>
      </c>
      <c r="AJ17" s="1281"/>
      <c r="AK17" s="1280" t="s">
        <v>64</v>
      </c>
      <c r="AS17" s="10">
        <v>0</v>
      </c>
    </row>
    <row r="18" spans="1:45" ht="14.25" hidden="1" customHeight="1">
      <c r="AD18" s="365"/>
      <c r="AE18" s="365"/>
      <c r="AF18" s="365"/>
      <c r="AG18" s="189" t="str">
        <f>AH17&amp;"-"&amp;AJ17</f>
        <v>-</v>
      </c>
      <c r="AH18" s="1280"/>
      <c r="AI18" s="1280"/>
      <c r="AJ18" s="1280"/>
      <c r="AK18" s="1280"/>
      <c r="AS18" s="10">
        <v>0</v>
      </c>
    </row>
    <row r="19" spans="1:45" ht="14.25" hidden="1" customHeight="1">
      <c r="AS19" s="10">
        <v>0</v>
      </c>
    </row>
    <row r="20" spans="1:45" s="60" customFormat="1" ht="22.5" hidden="1" customHeight="1">
      <c r="L20" s="298"/>
      <c r="M20" s="503"/>
      <c r="N20" s="503"/>
      <c r="O20" s="768" t="s">
        <v>415</v>
      </c>
      <c r="P20" s="503"/>
      <c r="Q20" s="769"/>
      <c r="R20" s="769"/>
      <c r="S20" s="423"/>
      <c r="Z20" s="768"/>
      <c r="AB20" s="768"/>
      <c r="AH20" s="768"/>
      <c r="AJ20" s="768"/>
      <c r="AN20" s="65"/>
      <c r="AO20" s="65"/>
      <c r="AP20" s="65"/>
      <c r="AQ20" s="65"/>
      <c r="AR20" s="65"/>
      <c r="AS20" s="60">
        <v>0</v>
      </c>
    </row>
    <row r="21" spans="1:45" s="60" customFormat="1" ht="14.25" hidden="1" customHeight="1">
      <c r="L21" s="298"/>
      <c r="M21" s="503"/>
      <c r="N21" s="503"/>
      <c r="O21" s="503"/>
      <c r="P21" s="503"/>
      <c r="Q21" s="769"/>
      <c r="R21" s="769"/>
      <c r="S21" s="423"/>
      <c r="AN21" s="65"/>
      <c r="AO21" s="65"/>
      <c r="AP21" s="65"/>
      <c r="AQ21" s="65"/>
      <c r="AR21" s="65"/>
      <c r="AS21" s="60">
        <v>0</v>
      </c>
    </row>
    <row r="22" spans="1:45" s="60" customFormat="1" ht="14.25" hidden="1" customHeight="1">
      <c r="L22" s="298"/>
      <c r="M22" s="503"/>
      <c r="N22" s="503"/>
      <c r="O22" s="767" t="s">
        <v>416</v>
      </c>
      <c r="P22" s="503"/>
      <c r="Q22" s="769"/>
      <c r="R22" s="769"/>
      <c r="S22" s="423"/>
      <c r="T22" s="60" t="s">
        <v>417</v>
      </c>
      <c r="AA22" s="79" t="s">
        <v>418</v>
      </c>
      <c r="AC22" s="79" t="s">
        <v>419</v>
      </c>
      <c r="AD22" s="60" t="s">
        <v>417</v>
      </c>
      <c r="AI22" s="79" t="s">
        <v>420</v>
      </c>
      <c r="AK22" s="79" t="s">
        <v>419</v>
      </c>
      <c r="AN22" s="65"/>
      <c r="AO22" s="65"/>
      <c r="AP22" s="65"/>
      <c r="AQ22" s="65"/>
      <c r="AR22" s="65"/>
      <c r="AS22" s="60">
        <v>0</v>
      </c>
    </row>
    <row r="23" spans="1:45" ht="14.25" hidden="1" customHeight="1">
      <c r="O23" s="767"/>
      <c r="AS23" s="10">
        <v>0</v>
      </c>
    </row>
    <row r="24" spans="1:45" ht="14.25" hidden="1" customHeight="1">
      <c r="O24" s="767"/>
      <c r="AS24" s="10">
        <v>0</v>
      </c>
    </row>
    <row r="25" spans="1:45" ht="14.65" customHeight="1">
      <c r="Q25" s="27"/>
      <c r="R25" s="27"/>
      <c r="S25" s="736"/>
      <c r="T25" s="9"/>
      <c r="U25" s="9"/>
      <c r="AS25" s="10">
        <v>14</v>
      </c>
    </row>
    <row r="26" spans="1:45" ht="14.65" customHeight="1">
      <c r="Q26" s="27"/>
      <c r="R26" s="27"/>
      <c r="S26" s="1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4"/>
      <c r="U26" s="1264"/>
      <c r="V26" s="1264"/>
      <c r="W26" s="1264"/>
      <c r="X26" s="1264"/>
      <c r="Y26" s="1264"/>
      <c r="Z26" s="1264"/>
      <c r="AA26" s="1264"/>
      <c r="AB26" s="1264"/>
      <c r="AC26" s="1264"/>
      <c r="AD26" s="1264"/>
      <c r="AE26" s="1264"/>
      <c r="AF26" s="1264"/>
      <c r="AG26" s="1264"/>
      <c r="AH26" s="1264"/>
      <c r="AI26" s="1264"/>
      <c r="AJ26" s="1264"/>
      <c r="AK26" s="57"/>
      <c r="AS26" s="10">
        <v>14</v>
      </c>
    </row>
    <row r="27" spans="1:45" ht="14.65" customHeight="1">
      <c r="Q27" s="27"/>
      <c r="R27" s="27"/>
      <c r="S27" s="1236" t="str">
        <f>IF(org=0,"Не определено",org)</f>
        <v>Общество с ограниченной ответственностью "Березовский рудник"</v>
      </c>
      <c r="T27" s="1236"/>
      <c r="U27" s="1236"/>
      <c r="V27" s="1236"/>
      <c r="W27" s="1236"/>
      <c r="X27" s="1236"/>
      <c r="Y27" s="1236"/>
      <c r="Z27" s="1236"/>
      <c r="AA27" s="1236"/>
      <c r="AB27" s="1236"/>
      <c r="AC27" s="1236"/>
      <c r="AD27" s="1236"/>
      <c r="AE27" s="1236"/>
      <c r="AF27" s="1236"/>
      <c r="AG27" s="1236"/>
      <c r="AH27" s="1236"/>
      <c r="AI27" s="1236"/>
      <c r="AJ27" s="1236"/>
      <c r="AK27" s="57"/>
      <c r="AS27" s="10">
        <v>14</v>
      </c>
    </row>
    <row r="28" spans="1:45" ht="14.25" hidden="1" customHeight="1">
      <c r="Q28" s="27"/>
      <c r="R28" s="27"/>
      <c r="S28" s="736"/>
      <c r="T28" s="9"/>
      <c r="U28" s="9"/>
      <c r="V28" s="186"/>
      <c r="W28" s="186"/>
      <c r="X28" s="186"/>
      <c r="Y28" s="186"/>
      <c r="Z28" s="186"/>
      <c r="AA28" s="186"/>
      <c r="AB28" s="186"/>
      <c r="AC28" s="186"/>
      <c r="AD28" s="186"/>
      <c r="AE28" s="186"/>
      <c r="AF28" s="186"/>
      <c r="AG28" s="186"/>
      <c r="AH28" s="186"/>
      <c r="AI28" s="186"/>
      <c r="AJ28" s="186"/>
      <c r="AK28" s="186"/>
      <c r="AS28" s="10">
        <v>0</v>
      </c>
    </row>
    <row r="29" spans="1:45" s="34" customFormat="1" ht="25.5" hidden="1" customHeight="1">
      <c r="A29" s="79"/>
      <c r="B29" s="79"/>
      <c r="C29" s="79"/>
      <c r="D29" s="79"/>
      <c r="E29" s="79"/>
      <c r="F29" s="79"/>
      <c r="G29" s="79"/>
      <c r="H29" s="79"/>
      <c r="I29" s="79"/>
      <c r="J29" s="79"/>
      <c r="K29" s="79"/>
      <c r="L29" s="767"/>
      <c r="M29" s="79"/>
      <c r="N29" s="79"/>
      <c r="O29" s="79"/>
      <c r="S29" s="1274" t="s">
        <v>41</v>
      </c>
      <c r="T29" s="1274"/>
      <c r="U29" s="770"/>
      <c r="V29" s="1276" t="str">
        <f>IF(TITLE_NAME_OR_PR_CHANGE="",IF(TITLE_NAME_OR_PR="","",TITLE_NAME_OR_PR),TITLE_NAME_OR_PR_CHANGE)</f>
        <v/>
      </c>
      <c r="W29" s="1276"/>
      <c r="X29" s="1276"/>
      <c r="Y29" s="1276"/>
      <c r="Z29" s="1276"/>
      <c r="AA29" s="1276"/>
      <c r="AB29" s="1276"/>
      <c r="AC29" s="10"/>
      <c r="AD29" s="1276" t="str">
        <f>IF(TITLE_NAME_OR_PR_CHANGE="",IF(TITLE_NAME_OR_PR="","",TITLE_NAME_OR_PR),TITLE_NAME_OR_PR_CHANGE)</f>
        <v/>
      </c>
      <c r="AE29" s="1276"/>
      <c r="AF29" s="1276"/>
      <c r="AG29" s="1276"/>
      <c r="AH29" s="1276"/>
      <c r="AI29" s="1276"/>
      <c r="AJ29" s="1276"/>
      <c r="AK29" s="10"/>
      <c r="AL29" s="10"/>
      <c r="AM29" s="160"/>
      <c r="AN29" s="66"/>
      <c r="AO29" s="66"/>
      <c r="AP29" s="66"/>
      <c r="AQ29" s="66"/>
      <c r="AR29" s="66"/>
      <c r="AS29" s="34">
        <v>0</v>
      </c>
    </row>
    <row r="30" spans="1:45" s="34" customFormat="1" ht="18.75" hidden="1" customHeight="1">
      <c r="A30" s="79"/>
      <c r="B30" s="79"/>
      <c r="C30" s="79"/>
      <c r="D30" s="79"/>
      <c r="E30" s="79"/>
      <c r="F30" s="79"/>
      <c r="G30" s="79"/>
      <c r="H30" s="79"/>
      <c r="I30" s="79"/>
      <c r="J30" s="79"/>
      <c r="K30" s="79"/>
      <c r="L30" s="767"/>
      <c r="M30" s="79"/>
      <c r="N30" s="79"/>
      <c r="O30" s="79"/>
      <c r="S30" s="1274" t="s">
        <v>421</v>
      </c>
      <c r="T30" s="1274"/>
      <c r="U30" s="770"/>
      <c r="V30" s="1275">
        <f>IF(TITLE_DATE_PR_CHANGE="",IF(TITLE_DATE_PR="","",TITLE_DATE_PR),TITLE_DATE_PR_CHANGE)</f>
        <v>45805</v>
      </c>
      <c r="W30" s="1275"/>
      <c r="X30" s="1275"/>
      <c r="Y30" s="1275"/>
      <c r="Z30" s="1275"/>
      <c r="AA30" s="1275"/>
      <c r="AB30" s="1275"/>
      <c r="AC30" s="10"/>
      <c r="AD30" s="1275">
        <f>IF(TITLE_DATE_PR_CHANGE="",IF(TITLE_DATE_PR="","",TITLE_DATE_PR),TITLE_DATE_PR_CHANGE)</f>
        <v>45805</v>
      </c>
      <c r="AE30" s="1275"/>
      <c r="AF30" s="1275"/>
      <c r="AG30" s="1275"/>
      <c r="AH30" s="1275"/>
      <c r="AI30" s="1275"/>
      <c r="AJ30" s="1275"/>
      <c r="AK30" s="10"/>
      <c r="AL30" s="10"/>
      <c r="AM30" s="160"/>
      <c r="AN30" s="66"/>
      <c r="AO30" s="66"/>
      <c r="AP30" s="66"/>
      <c r="AQ30" s="66"/>
      <c r="AR30" s="66"/>
      <c r="AS30" s="34">
        <v>0</v>
      </c>
    </row>
    <row r="31" spans="1:45" s="34" customFormat="1" ht="18.75" hidden="1" customHeight="1">
      <c r="A31" s="79"/>
      <c r="B31" s="79"/>
      <c r="C31" s="79"/>
      <c r="D31" s="79"/>
      <c r="E31" s="79"/>
      <c r="F31" s="79"/>
      <c r="G31" s="79"/>
      <c r="H31" s="79"/>
      <c r="I31" s="79"/>
      <c r="J31" s="79"/>
      <c r="K31" s="79"/>
      <c r="L31" s="767"/>
      <c r="M31" s="79"/>
      <c r="N31" s="79"/>
      <c r="O31" s="79"/>
      <c r="S31" s="1274" t="s">
        <v>422</v>
      </c>
      <c r="T31" s="1274"/>
      <c r="U31" s="770"/>
      <c r="V31" s="1276" t="str">
        <f>IF(TITLE_NUMBER_PR_CHANGE="",IF(TITLE_NUMBER_PR="","",TITLE_NUMBER_PR),TITLE_NUMBER_PR_CHANGE)</f>
        <v>2496</v>
      </c>
      <c r="W31" s="1276"/>
      <c r="X31" s="1276"/>
      <c r="Y31" s="1276"/>
      <c r="Z31" s="1276"/>
      <c r="AA31" s="1276"/>
      <c r="AB31" s="1276"/>
      <c r="AC31" s="10"/>
      <c r="AD31" s="1276" t="str">
        <f>IF(TITLE_NUMBER_PR_CHANGE="",IF(TITLE_NUMBER_PR="","",TITLE_NUMBER_PR),TITLE_NUMBER_PR_CHANGE)</f>
        <v>2496</v>
      </c>
      <c r="AE31" s="1276"/>
      <c r="AF31" s="1276"/>
      <c r="AG31" s="1276"/>
      <c r="AH31" s="1276"/>
      <c r="AI31" s="1276"/>
      <c r="AJ31" s="1276"/>
      <c r="AK31" s="10"/>
      <c r="AL31" s="10"/>
      <c r="AM31" s="160"/>
      <c r="AN31" s="66"/>
      <c r="AO31" s="66"/>
      <c r="AP31" s="66"/>
      <c r="AQ31" s="66"/>
      <c r="AR31" s="66"/>
      <c r="AS31" s="34">
        <v>0</v>
      </c>
    </row>
    <row r="32" spans="1:45" s="34" customFormat="1" ht="18.75" hidden="1" customHeight="1">
      <c r="A32" s="79"/>
      <c r="B32" s="79"/>
      <c r="C32" s="79"/>
      <c r="D32" s="79"/>
      <c r="E32" s="79"/>
      <c r="F32" s="79"/>
      <c r="G32" s="79"/>
      <c r="H32" s="79"/>
      <c r="I32" s="79"/>
      <c r="J32" s="79"/>
      <c r="K32" s="79"/>
      <c r="L32" s="767"/>
      <c r="M32" s="79"/>
      <c r="N32" s="79"/>
      <c r="O32" s="79"/>
      <c r="S32" s="1274" t="s">
        <v>42</v>
      </c>
      <c r="T32" s="1274"/>
      <c r="U32" s="770"/>
      <c r="V32" s="1276" t="str">
        <f>IF(TITLE_IST_PUB_CHANGE="",IF(TITLE_IST_PUB="","",TITLE_IST_PUB),TITLE_IST_PUB_CHANGE)</f>
        <v/>
      </c>
      <c r="W32" s="1276"/>
      <c r="X32" s="1276"/>
      <c r="Y32" s="1276"/>
      <c r="Z32" s="1276"/>
      <c r="AA32" s="1276"/>
      <c r="AB32" s="1276"/>
      <c r="AC32" s="10"/>
      <c r="AD32" s="1276" t="str">
        <f>IF(TITLE_IST_PUB_CHANGE="",IF(TITLE_IST_PUB="","",TITLE_IST_PUB),TITLE_IST_PUB_CHANGE)</f>
        <v/>
      </c>
      <c r="AE32" s="1276"/>
      <c r="AF32" s="1276"/>
      <c r="AG32" s="1276"/>
      <c r="AH32" s="1276"/>
      <c r="AI32" s="1276"/>
      <c r="AJ32" s="1276"/>
      <c r="AK32" s="10"/>
      <c r="AL32" s="10"/>
      <c r="AM32" s="160"/>
      <c r="AN32" s="66"/>
      <c r="AO32" s="66"/>
      <c r="AP32" s="66"/>
      <c r="AQ32" s="66"/>
      <c r="AR32" s="66"/>
      <c r="AS32" s="34">
        <v>0</v>
      </c>
    </row>
    <row r="33" spans="1:45" ht="14.25" customHeight="1">
      <c r="Q33" s="27"/>
      <c r="R33" s="27"/>
      <c r="S33" s="736"/>
      <c r="T33" s="9"/>
      <c r="U33" s="9"/>
      <c r="V33" s="186"/>
      <c r="W33" s="186"/>
      <c r="X33" s="186"/>
      <c r="Y33" s="186"/>
      <c r="Z33" s="186"/>
      <c r="AA33" s="186"/>
      <c r="AB33" s="186"/>
      <c r="AC33" s="186"/>
      <c r="AD33" s="186"/>
      <c r="AE33" s="186"/>
      <c r="AF33" s="186"/>
      <c r="AG33" s="186"/>
      <c r="AH33" s="186"/>
      <c r="AI33" s="186"/>
      <c r="AJ33" s="186"/>
      <c r="AK33" s="186"/>
      <c r="AS33" s="10">
        <v>0</v>
      </c>
    </row>
    <row r="34" spans="1:45" s="34" customFormat="1" ht="18.75" customHeight="1">
      <c r="A34" s="79"/>
      <c r="B34" s="79"/>
      <c r="C34" s="79"/>
      <c r="D34" s="79"/>
      <c r="E34" s="79"/>
      <c r="F34" s="79"/>
      <c r="G34" s="79"/>
      <c r="H34" s="79"/>
      <c r="I34" s="79"/>
      <c r="J34" s="79"/>
      <c r="K34" s="79"/>
      <c r="L34" s="767"/>
      <c r="M34" s="79"/>
      <c r="N34" s="79"/>
      <c r="O34" s="79"/>
      <c r="S34" s="1274" t="s">
        <v>423</v>
      </c>
      <c r="T34" s="1274"/>
      <c r="U34" s="770"/>
      <c r="V34" s="1275">
        <f>IF(TITLE_DATE_PR_CHANGE="",IF(TITLE_DATE_PR="","",TITLE_DATE_PR),TITLE_DATE_PR_CHANGE)</f>
        <v>45805</v>
      </c>
      <c r="W34" s="1275"/>
      <c r="X34" s="1275"/>
      <c r="Y34" s="1275"/>
      <c r="Z34" s="1275"/>
      <c r="AA34" s="1275"/>
      <c r="AB34" s="1275"/>
      <c r="AC34" s="10"/>
      <c r="AD34" s="1275">
        <f>IF(TITLE_DATE_PR_CHANGE="",IF(TITLE_DATE_PR="","",TITLE_DATE_PR),TITLE_DATE_PR_CHANGE)</f>
        <v>45805</v>
      </c>
      <c r="AE34" s="1275"/>
      <c r="AF34" s="1275"/>
      <c r="AG34" s="1275"/>
      <c r="AH34" s="1275"/>
      <c r="AI34" s="1275"/>
      <c r="AJ34" s="1275"/>
      <c r="AK34" s="10"/>
      <c r="AL34" s="10"/>
      <c r="AM34" s="160"/>
      <c r="AN34" s="66"/>
      <c r="AO34" s="66"/>
      <c r="AP34" s="66"/>
      <c r="AQ34" s="66"/>
      <c r="AR34" s="66"/>
      <c r="AS34" s="34">
        <v>0</v>
      </c>
    </row>
    <row r="35" spans="1:45" s="34" customFormat="1" ht="18.75" customHeight="1">
      <c r="A35" s="79"/>
      <c r="B35" s="79"/>
      <c r="C35" s="79"/>
      <c r="D35" s="79"/>
      <c r="E35" s="79"/>
      <c r="F35" s="79"/>
      <c r="G35" s="79"/>
      <c r="H35" s="79"/>
      <c r="I35" s="79"/>
      <c r="J35" s="79"/>
      <c r="K35" s="79"/>
      <c r="L35" s="767"/>
      <c r="M35" s="79"/>
      <c r="N35" s="79"/>
      <c r="O35" s="79"/>
      <c r="S35" s="1274" t="s">
        <v>424</v>
      </c>
      <c r="T35" s="1274"/>
      <c r="U35" s="770"/>
      <c r="V35" s="1276" t="str">
        <f>IF(TITLE_NUMBER_PR_CHANGE="",IF(TITLE_NUMBER_PR="","",TITLE_NUMBER_PR),TITLE_NUMBER_PR_CHANGE)</f>
        <v>2496</v>
      </c>
      <c r="W35" s="1276"/>
      <c r="X35" s="1276"/>
      <c r="Y35" s="1276"/>
      <c r="Z35" s="1276"/>
      <c r="AA35" s="1276"/>
      <c r="AB35" s="1276"/>
      <c r="AC35" s="10"/>
      <c r="AD35" s="1276" t="str">
        <f>IF(TITLE_NUMBER_PR_CHANGE="",IF(TITLE_NUMBER_PR="","",TITLE_NUMBER_PR),TITLE_NUMBER_PR_CHANGE)</f>
        <v>2496</v>
      </c>
      <c r="AE35" s="1276"/>
      <c r="AF35" s="1276"/>
      <c r="AG35" s="1276"/>
      <c r="AH35" s="1276"/>
      <c r="AI35" s="1276"/>
      <c r="AJ35" s="1276"/>
      <c r="AK35" s="10"/>
      <c r="AL35" s="10"/>
      <c r="AM35" s="160"/>
      <c r="AN35" s="66"/>
      <c r="AO35" s="66"/>
      <c r="AP35" s="66"/>
      <c r="AQ35" s="66"/>
      <c r="AR35" s="66"/>
      <c r="AS35" s="34">
        <v>0</v>
      </c>
    </row>
    <row r="36" spans="1:45" s="34" customFormat="1" ht="0" hidden="1" customHeight="1">
      <c r="A36" s="79"/>
      <c r="B36" s="79"/>
      <c r="C36" s="79"/>
      <c r="D36" s="79"/>
      <c r="E36" s="79"/>
      <c r="F36" s="79"/>
      <c r="G36" s="79"/>
      <c r="H36" s="79"/>
      <c r="I36" s="79"/>
      <c r="J36" s="79"/>
      <c r="K36" s="79"/>
      <c r="L36" s="767"/>
      <c r="M36" s="79"/>
      <c r="N36" s="79"/>
      <c r="O36" s="79"/>
      <c r="S36" s="10"/>
      <c r="T36" s="10"/>
      <c r="U36" s="75"/>
      <c r="V36" s="10"/>
      <c r="W36" s="10"/>
      <c r="X36" s="10"/>
      <c r="Y36" s="10"/>
      <c r="Z36" s="10"/>
      <c r="AA36" s="10"/>
      <c r="AB36" s="10"/>
      <c r="AC36" s="65" t="s">
        <v>425</v>
      </c>
      <c r="AD36" s="10"/>
      <c r="AE36" s="10"/>
      <c r="AF36" s="10"/>
      <c r="AG36" s="10"/>
      <c r="AH36" s="10"/>
      <c r="AI36" s="10"/>
      <c r="AJ36" s="10"/>
      <c r="AK36" s="65" t="s">
        <v>425</v>
      </c>
      <c r="AN36" s="66"/>
      <c r="AO36" s="66"/>
      <c r="AP36" s="66"/>
      <c r="AQ36" s="66"/>
      <c r="AR36" s="66"/>
      <c r="AS36" s="34">
        <v>0</v>
      </c>
    </row>
    <row r="37" spans="1:45" ht="14.65" customHeight="1">
      <c r="Q37" s="27"/>
      <c r="R37" s="27"/>
      <c r="S37" s="736"/>
      <c r="T37" s="9"/>
      <c r="U37" s="717"/>
      <c r="V37" s="1295"/>
      <c r="W37" s="1295"/>
      <c r="X37" s="1295"/>
      <c r="Y37" s="1295"/>
      <c r="Z37" s="1295"/>
      <c r="AA37" s="1295"/>
      <c r="AB37" s="1295"/>
      <c r="AC37" s="1295"/>
      <c r="AD37" s="1295"/>
      <c r="AE37" s="1295"/>
      <c r="AF37" s="1295"/>
      <c r="AG37" s="1295"/>
      <c r="AH37" s="1295"/>
      <c r="AI37" s="1295"/>
      <c r="AJ37" s="1295"/>
      <c r="AK37" s="1295"/>
      <c r="AS37" s="10">
        <v>14</v>
      </c>
    </row>
    <row r="38" spans="1:45" ht="14.65" customHeight="1">
      <c r="Q38" s="27"/>
      <c r="R38" s="27"/>
      <c r="S38" s="1146" t="s">
        <v>300</v>
      </c>
      <c r="T38" s="1146"/>
      <c r="U38" s="1146"/>
      <c r="V38" s="1146"/>
      <c r="W38" s="1146"/>
      <c r="X38" s="1146"/>
      <c r="Y38" s="1146"/>
      <c r="Z38" s="1146"/>
      <c r="AA38" s="1146"/>
      <c r="AB38" s="1146"/>
      <c r="AC38" s="1146"/>
      <c r="AD38" s="1146"/>
      <c r="AE38" s="1146"/>
      <c r="AF38" s="1146"/>
      <c r="AG38" s="1146"/>
      <c r="AH38" s="1146"/>
      <c r="AI38" s="1146"/>
      <c r="AJ38" s="1146"/>
      <c r="AK38" s="1146"/>
      <c r="AL38" s="1146"/>
      <c r="AM38" s="1146" t="s">
        <v>301</v>
      </c>
      <c r="AS38" s="10">
        <v>14</v>
      </c>
    </row>
    <row r="39" spans="1:45" ht="14.65" customHeight="1">
      <c r="Q39" s="27"/>
      <c r="R39" s="27"/>
      <c r="S39" s="1296" t="s">
        <v>86</v>
      </c>
      <c r="T39" s="1244" t="s">
        <v>426</v>
      </c>
      <c r="U39" s="169"/>
      <c r="V39" s="1297" t="s">
        <v>427</v>
      </c>
      <c r="W39" s="1298"/>
      <c r="X39" s="1298"/>
      <c r="Y39" s="1298"/>
      <c r="Z39" s="1298"/>
      <c r="AA39" s="1298"/>
      <c r="AB39" s="1299"/>
      <c r="AC39" s="1300" t="s">
        <v>428</v>
      </c>
      <c r="AD39" s="1297" t="s">
        <v>427</v>
      </c>
      <c r="AE39" s="1298"/>
      <c r="AF39" s="1298"/>
      <c r="AG39" s="1298"/>
      <c r="AH39" s="1298"/>
      <c r="AI39" s="1298"/>
      <c r="AJ39" s="1299"/>
      <c r="AK39" s="1300" t="s">
        <v>429</v>
      </c>
      <c r="AL39" s="1303" t="s">
        <v>430</v>
      </c>
      <c r="AM39" s="1146"/>
      <c r="AS39" s="10">
        <v>14</v>
      </c>
    </row>
    <row r="40" spans="1:45" ht="35.65" customHeight="1">
      <c r="Q40" s="27"/>
      <c r="R40" s="27"/>
      <c r="S40" s="1296"/>
      <c r="T40" s="1244"/>
      <c r="U40" s="604"/>
      <c r="V40" s="1216" t="s">
        <v>431</v>
      </c>
      <c r="W40" s="1292" t="s">
        <v>432</v>
      </c>
      <c r="X40" s="1128" t="s">
        <v>433</v>
      </c>
      <c r="Y40" s="1127"/>
      <c r="Z40" s="1128" t="s">
        <v>434</v>
      </c>
      <c r="AA40" s="1133"/>
      <c r="AB40" s="1127"/>
      <c r="AC40" s="1301"/>
      <c r="AD40" s="1216" t="s">
        <v>431</v>
      </c>
      <c r="AE40" s="1292" t="s">
        <v>432</v>
      </c>
      <c r="AF40" s="1128" t="s">
        <v>433</v>
      </c>
      <c r="AG40" s="1127"/>
      <c r="AH40" s="1128" t="s">
        <v>434</v>
      </c>
      <c r="AI40" s="1133"/>
      <c r="AJ40" s="1127"/>
      <c r="AK40" s="1301"/>
      <c r="AL40" s="1304"/>
      <c r="AM40" s="1146"/>
      <c r="AS40" s="10">
        <v>34</v>
      </c>
    </row>
    <row r="41" spans="1:45" ht="35.65" customHeight="1">
      <c r="A41" s="79"/>
      <c r="B41" s="79" t="s">
        <v>133</v>
      </c>
      <c r="C41" s="79" t="s">
        <v>134</v>
      </c>
      <c r="D41" s="79" t="s">
        <v>135</v>
      </c>
      <c r="E41" s="767" t="s">
        <v>435</v>
      </c>
      <c r="F41" s="767" t="s">
        <v>436</v>
      </c>
      <c r="G41" s="767" t="s">
        <v>437</v>
      </c>
      <c r="H41" s="767" t="s">
        <v>438</v>
      </c>
      <c r="I41" s="767" t="s">
        <v>439</v>
      </c>
      <c r="J41" s="767" t="s">
        <v>440</v>
      </c>
      <c r="K41" s="767" t="s">
        <v>441</v>
      </c>
      <c r="L41" s="767" t="s">
        <v>416</v>
      </c>
      <c r="Q41" s="27"/>
      <c r="R41" s="27"/>
      <c r="S41" s="1296"/>
      <c r="T41" s="1244"/>
      <c r="U41" s="170"/>
      <c r="V41" s="1269"/>
      <c r="W41" s="1293"/>
      <c r="X41" s="38" t="s">
        <v>442</v>
      </c>
      <c r="Y41" s="38" t="s">
        <v>443</v>
      </c>
      <c r="Z41" s="38" t="s">
        <v>444</v>
      </c>
      <c r="AA41" s="1249" t="s">
        <v>445</v>
      </c>
      <c r="AB41" s="1263"/>
      <c r="AC41" s="1302"/>
      <c r="AD41" s="1269"/>
      <c r="AE41" s="1293"/>
      <c r="AF41" s="38" t="s">
        <v>442</v>
      </c>
      <c r="AG41" s="38" t="s">
        <v>443</v>
      </c>
      <c r="AH41" s="38" t="s">
        <v>444</v>
      </c>
      <c r="AI41" s="1249" t="s">
        <v>445</v>
      </c>
      <c r="AJ41" s="1263"/>
      <c r="AK41" s="1302"/>
      <c r="AL41" s="1305"/>
      <c r="AM41" s="1146"/>
      <c r="AS41" s="10">
        <v>34</v>
      </c>
    </row>
    <row r="42" spans="1:45" s="200" customFormat="1" ht="11.25" hidden="1" customHeight="1">
      <c r="A42" s="79"/>
      <c r="B42" s="79"/>
      <c r="C42" s="79"/>
      <c r="D42" s="79"/>
      <c r="E42" s="79"/>
      <c r="F42" s="79"/>
      <c r="G42" s="79"/>
      <c r="H42" s="79"/>
      <c r="I42" s="79"/>
      <c r="J42" s="79"/>
      <c r="K42" s="79"/>
      <c r="L42" s="767"/>
      <c r="M42" s="503"/>
      <c r="N42" s="503"/>
      <c r="O42" s="503"/>
      <c r="P42" s="719"/>
      <c r="Q42" s="720"/>
      <c r="R42" s="722">
        <v>1</v>
      </c>
      <c r="S42" s="738" t="s">
        <v>107</v>
      </c>
      <c r="T42" s="723" t="s">
        <v>108</v>
      </c>
      <c r="U42" s="718" t="str">
        <f ca="1">OFFSET(U42,0,-1)</f>
        <v>2</v>
      </c>
      <c r="V42" s="724">
        <f ca="1">OFFSET(V42,0,-1)+1</f>
        <v>3</v>
      </c>
      <c r="W42" s="724"/>
      <c r="X42" s="724">
        <f ca="1">OFFSET(X42,0,-1)+1</f>
        <v>1</v>
      </c>
      <c r="Y42" s="724">
        <f ca="1">OFFSET(Y42,0,-1)+1</f>
        <v>2</v>
      </c>
      <c r="Z42" s="724">
        <f ca="1">OFFSET(Z42,0,-1)+1</f>
        <v>3</v>
      </c>
      <c r="AA42" s="1294">
        <f ca="1">OFFSET(AA42,0,-1)+1</f>
        <v>4</v>
      </c>
      <c r="AB42" s="1294"/>
      <c r="AC42" s="724">
        <f ca="1">OFFSET(AC42,0,-2)+1</f>
        <v>5</v>
      </c>
      <c r="AD42" s="724">
        <f ca="1">OFFSET(AD42,0,-1)+1</f>
        <v>6</v>
      </c>
      <c r="AE42" s="724"/>
      <c r="AF42" s="724">
        <f ca="1">OFFSET(AF42,0,-1)+1</f>
        <v>1</v>
      </c>
      <c r="AG42" s="724">
        <f ca="1">OFFSET(AG42,0,-1)+1</f>
        <v>2</v>
      </c>
      <c r="AH42" s="724">
        <f ca="1">OFFSET(AH42,0,-1)+1</f>
        <v>3</v>
      </c>
      <c r="AI42" s="1294">
        <f ca="1">OFFSET(AI42,0,-1)+1</f>
        <v>4</v>
      </c>
      <c r="AJ42" s="1294"/>
      <c r="AK42" s="724">
        <f ca="1">OFFSET(AK42,0,-2)+1</f>
        <v>5</v>
      </c>
      <c r="AL42" s="718">
        <f ca="1">OFFSET(AL42,0,-1)</f>
        <v>5</v>
      </c>
      <c r="AM42" s="724">
        <f ca="1">OFFSET(AM42,0,-1)+1</f>
        <v>6</v>
      </c>
      <c r="AN42" s="65"/>
      <c r="AO42" s="65"/>
      <c r="AP42" s="65"/>
      <c r="AQ42" s="65"/>
      <c r="AR42" s="65"/>
      <c r="AS42" s="200">
        <v>0</v>
      </c>
    </row>
    <row r="43" spans="1:45" ht="24" customHeight="1">
      <c r="A43" s="766" t="s">
        <v>154</v>
      </c>
      <c r="B43" s="766"/>
      <c r="C43" s="766"/>
      <c r="D43" s="766"/>
      <c r="E43" s="1283">
        <v>1</v>
      </c>
      <c r="F43" s="766"/>
      <c r="G43" s="766"/>
      <c r="H43" s="766"/>
      <c r="I43" s="766"/>
      <c r="J43" s="766"/>
      <c r="K43" s="766"/>
      <c r="L43" s="767"/>
      <c r="M43" s="423"/>
      <c r="N43" s="423"/>
      <c r="O43" s="423"/>
      <c r="Q43" s="33"/>
      <c r="R43" s="204"/>
      <c r="S43" s="706">
        <f>INDEX(PT_DIFFERENTIATION_NUM_NTAR,MATCH(A43,PT_DIFFERENTIATION_NTAR_ID,0))</f>
        <v>0</v>
      </c>
      <c r="T43" s="64" t="s">
        <v>121</v>
      </c>
      <c r="U43" s="168"/>
      <c r="V43" s="1277"/>
      <c r="W43" s="1278"/>
      <c r="X43" s="1278"/>
      <c r="Y43" s="1278"/>
      <c r="Z43" s="1278"/>
      <c r="AA43" s="1278"/>
      <c r="AB43" s="1278"/>
      <c r="AC43" s="1279"/>
      <c r="AD43" s="1277" t="str">
        <f>INDEX(PT_DIFFERENTIATION_NTAR,MATCH(A43,PT_DIFFERENTIATION_NTAR_ID,0))</f>
        <v/>
      </c>
      <c r="AE43" s="1278"/>
      <c r="AF43" s="1278"/>
      <c r="AG43" s="1278"/>
      <c r="AH43" s="1278"/>
      <c r="AI43" s="1278"/>
      <c r="AJ43" s="1278"/>
      <c r="AK43" s="1278"/>
      <c r="AL43" s="1279"/>
      <c r="AM43" s="72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23</v>
      </c>
    </row>
    <row r="44" spans="1:45" ht="24" customHeight="1">
      <c r="A44" s="766" t="s">
        <v>154</v>
      </c>
      <c r="B44" s="766" t="s">
        <v>155</v>
      </c>
      <c r="C44" s="766"/>
      <c r="D44" s="766"/>
      <c r="E44" s="1284"/>
      <c r="F44" s="1283">
        <v>1</v>
      </c>
      <c r="G44" s="766"/>
      <c r="H44" s="766"/>
      <c r="I44" s="766"/>
      <c r="J44" s="766"/>
      <c r="K44" s="766"/>
      <c r="L44" s="767"/>
      <c r="M44" s="423"/>
      <c r="N44" s="423"/>
      <c r="O44" s="423"/>
      <c r="P44" s="56"/>
      <c r="Q44" s="201"/>
      <c r="R44" s="202"/>
      <c r="S44" s="706" t="str">
        <f>INDEX(PT_DIFFERENTIATION_NUM_TER,MATCH(B44,PT_DIFFERENTIATION_TER_ID,0))</f>
        <v>.</v>
      </c>
      <c r="T44" s="174" t="s">
        <v>397</v>
      </c>
      <c r="U44" s="168"/>
      <c r="V44" s="1277"/>
      <c r="W44" s="1278"/>
      <c r="X44" s="1278"/>
      <c r="Y44" s="1278"/>
      <c r="Z44" s="1278"/>
      <c r="AA44" s="1278"/>
      <c r="AB44" s="1278"/>
      <c r="AC44" s="1279"/>
      <c r="AD44" s="1277" t="str">
        <f>INDEX(PT_DIFFERENTIATION_TER,MATCH(B44,PT_DIFFERENTIATION_TER_ID,0))</f>
        <v/>
      </c>
      <c r="AE44" s="1278"/>
      <c r="AF44" s="1278"/>
      <c r="AG44" s="1278"/>
      <c r="AH44" s="1278"/>
      <c r="AI44" s="1278"/>
      <c r="AJ44" s="1278"/>
      <c r="AK44" s="1278"/>
      <c r="AL44" s="1279"/>
      <c r="AM44" s="726" t="s">
        <v>398</v>
      </c>
      <c r="AO44" s="66"/>
      <c r="AP44" s="66" t="str">
        <f t="shared" si="1"/>
        <v>Территория действия тарифа</v>
      </c>
      <c r="AQ44" s="66"/>
      <c r="AR44" s="66"/>
      <c r="AS44" s="10">
        <v>23</v>
      </c>
    </row>
    <row r="45" spans="1:45" ht="24" customHeight="1">
      <c r="A45" s="766" t="s">
        <v>154</v>
      </c>
      <c r="B45" s="766" t="s">
        <v>155</v>
      </c>
      <c r="C45" s="766" t="s">
        <v>156</v>
      </c>
      <c r="D45" s="766"/>
      <c r="E45" s="1284"/>
      <c r="F45" s="1284"/>
      <c r="G45" s="1283">
        <v>1</v>
      </c>
      <c r="H45" s="766"/>
      <c r="I45" s="766"/>
      <c r="J45" s="766"/>
      <c r="K45" s="766"/>
      <c r="L45" s="767"/>
      <c r="M45" s="423"/>
      <c r="N45" s="423"/>
      <c r="O45" s="423"/>
      <c r="P45" s="203"/>
      <c r="Q45" s="201"/>
      <c r="R45" s="202"/>
      <c r="S45" s="706" t="str">
        <f>INDEX(PT_DIFFERENTIATION_NUM_CS,MATCH(C45,PT_DIFFERENTIATION_CS_ID,0))</f>
        <v>..</v>
      </c>
      <c r="T45" s="175" t="s">
        <v>399</v>
      </c>
      <c r="U45" s="168"/>
      <c r="V45" s="1277"/>
      <c r="W45" s="1278"/>
      <c r="X45" s="1278"/>
      <c r="Y45" s="1278"/>
      <c r="Z45" s="1278"/>
      <c r="AA45" s="1278"/>
      <c r="AB45" s="1278"/>
      <c r="AC45" s="1279"/>
      <c r="AD45" s="1277" t="str">
        <f>INDEX(PT_DIFFERENTIATION_CS,MATCH(C45,PT_DIFFERENTIATION_CS_ID,0))</f>
        <v/>
      </c>
      <c r="AE45" s="1278"/>
      <c r="AF45" s="1278"/>
      <c r="AG45" s="1278"/>
      <c r="AH45" s="1278"/>
      <c r="AI45" s="1278"/>
      <c r="AJ45" s="1278"/>
      <c r="AK45" s="1278"/>
      <c r="AL45" s="1279"/>
      <c r="AM45" s="726" t="s">
        <v>400</v>
      </c>
      <c r="AO45" s="66"/>
      <c r="AP45" s="66" t="str">
        <f t="shared" si="1"/>
        <v xml:space="preserve">Наименование системы теплоснабжения </v>
      </c>
      <c r="AQ45" s="66"/>
      <c r="AR45" s="66"/>
      <c r="AS45" s="10">
        <v>23</v>
      </c>
    </row>
    <row r="46" spans="1:45" ht="24" customHeight="1">
      <c r="A46" s="766" t="s">
        <v>154</v>
      </c>
      <c r="B46" s="766" t="s">
        <v>155</v>
      </c>
      <c r="C46" s="766" t="s">
        <v>156</v>
      </c>
      <c r="D46" s="766" t="s">
        <v>157</v>
      </c>
      <c r="E46" s="1284"/>
      <c r="F46" s="1284"/>
      <c r="G46" s="1284"/>
      <c r="H46" s="1283">
        <v>1</v>
      </c>
      <c r="I46" s="766"/>
      <c r="J46" s="766"/>
      <c r="K46" s="766"/>
      <c r="L46" s="767"/>
      <c r="M46" s="423"/>
      <c r="N46" s="423"/>
      <c r="O46" s="423"/>
      <c r="P46" s="203"/>
      <c r="Q46" s="201"/>
      <c r="R46" s="202"/>
      <c r="S46" s="706" t="str">
        <f>INDEX(PT_DIFFERENTIATION_NUM_IST_TE,MATCH(D46,PT_DIFFERENTIATION_IST_TE_ID,0))</f>
        <v>...</v>
      </c>
      <c r="T46" s="176" t="s">
        <v>401</v>
      </c>
      <c r="U46" s="168"/>
      <c r="V46" s="1277"/>
      <c r="W46" s="1278"/>
      <c r="X46" s="1278"/>
      <c r="Y46" s="1278"/>
      <c r="Z46" s="1278"/>
      <c r="AA46" s="1278"/>
      <c r="AB46" s="1278"/>
      <c r="AC46" s="1279"/>
      <c r="AD46" s="1277" t="str">
        <f>INDEX(PT_DIFFERENTIATION_IST_TE,MATCH(D46,PT_DIFFERENTIATION_IST_TE_ID,0))</f>
        <v/>
      </c>
      <c r="AE46" s="1278"/>
      <c r="AF46" s="1278"/>
      <c r="AG46" s="1278"/>
      <c r="AH46" s="1278"/>
      <c r="AI46" s="1278"/>
      <c r="AJ46" s="1278"/>
      <c r="AK46" s="1278"/>
      <c r="AL46" s="1279"/>
      <c r="AM46" s="726" t="s">
        <v>402</v>
      </c>
      <c r="AO46" s="66"/>
      <c r="AP46" s="66" t="str">
        <f t="shared" si="1"/>
        <v xml:space="preserve">Источник тепловой энергии  </v>
      </c>
      <c r="AQ46" s="66"/>
      <c r="AR46" s="66"/>
      <c r="AS46" s="10">
        <v>23</v>
      </c>
    </row>
    <row r="47" spans="1:45" ht="49.5" customHeight="1">
      <c r="A47" s="766" t="s">
        <v>154</v>
      </c>
      <c r="B47" s="766" t="s">
        <v>155</v>
      </c>
      <c r="C47" s="766" t="s">
        <v>156</v>
      </c>
      <c r="D47" s="766" t="s">
        <v>157</v>
      </c>
      <c r="E47" s="1284"/>
      <c r="F47" s="1284"/>
      <c r="G47" s="1284"/>
      <c r="H47" s="1284"/>
      <c r="I47" s="1285" t="str">
        <f>S46&amp;".1"</f>
        <v>....1</v>
      </c>
      <c r="J47" s="766"/>
      <c r="K47" s="766"/>
      <c r="L47" s="767" t="s">
        <v>403</v>
      </c>
      <c r="P47" s="1287">
        <v>1</v>
      </c>
      <c r="Q47" s="119"/>
      <c r="R47" s="205"/>
      <c r="S47" s="706" t="str">
        <f>$I47</f>
        <v>....1</v>
      </c>
      <c r="T47" s="161" t="s">
        <v>404</v>
      </c>
      <c r="U47" s="168"/>
      <c r="V47" s="1271"/>
      <c r="W47" s="1272"/>
      <c r="X47" s="1272"/>
      <c r="Y47" s="1272"/>
      <c r="Z47" s="1272"/>
      <c r="AA47" s="1272"/>
      <c r="AB47" s="1272"/>
      <c r="AC47" s="1273"/>
      <c r="AD47" s="1271"/>
      <c r="AE47" s="1272"/>
      <c r="AF47" s="1272"/>
      <c r="AG47" s="1272"/>
      <c r="AH47" s="1272"/>
      <c r="AI47" s="1272"/>
      <c r="AJ47" s="1272"/>
      <c r="AK47" s="1272"/>
      <c r="AL47" s="1273"/>
      <c r="AM47" s="726" t="s">
        <v>405</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4" customHeight="1">
      <c r="A48" s="766" t="s">
        <v>154</v>
      </c>
      <c r="B48" s="766" t="s">
        <v>155</v>
      </c>
      <c r="C48" s="766" t="s">
        <v>156</v>
      </c>
      <c r="D48" s="766" t="s">
        <v>157</v>
      </c>
      <c r="E48" s="1284"/>
      <c r="F48" s="1284"/>
      <c r="G48" s="1284"/>
      <c r="H48" s="1284"/>
      <c r="I48" s="1286"/>
      <c r="J48" s="1285" t="str">
        <f>I47&amp;".1"</f>
        <v>....1.1</v>
      </c>
      <c r="K48" s="766"/>
      <c r="L48" s="767" t="s">
        <v>406</v>
      </c>
      <c r="P48" s="1287"/>
      <c r="Q48" s="1287">
        <v>1</v>
      </c>
      <c r="R48" s="206"/>
      <c r="S48" s="706" t="str">
        <f>$J48</f>
        <v>....1.1</v>
      </c>
      <c r="T48" s="162" t="s">
        <v>407</v>
      </c>
      <c r="U48" s="168"/>
      <c r="V48" s="1271"/>
      <c r="W48" s="1272"/>
      <c r="X48" s="1272"/>
      <c r="Y48" s="1272"/>
      <c r="Z48" s="1272"/>
      <c r="AA48" s="1272"/>
      <c r="AB48" s="1272"/>
      <c r="AC48" s="1273"/>
      <c r="AD48" s="1271"/>
      <c r="AE48" s="1272"/>
      <c r="AF48" s="1272"/>
      <c r="AG48" s="1272"/>
      <c r="AH48" s="1272"/>
      <c r="AI48" s="1272"/>
      <c r="AJ48" s="1272"/>
      <c r="AK48" s="1272"/>
      <c r="AL48" s="1273"/>
      <c r="AM48" s="726" t="s">
        <v>408</v>
      </c>
      <c r="AO48" s="66"/>
      <c r="AP48" s="66" t="str">
        <f t="shared" si="1"/>
        <v>Группа потребителей</v>
      </c>
      <c r="AQ48" s="66"/>
      <c r="AR48" s="66"/>
      <c r="AS48" s="10">
        <v>23</v>
      </c>
    </row>
    <row r="49" spans="1:45" ht="24" customHeight="1">
      <c r="A49" s="766" t="s">
        <v>154</v>
      </c>
      <c r="B49" s="766" t="s">
        <v>155</v>
      </c>
      <c r="C49" s="766" t="s">
        <v>156</v>
      </c>
      <c r="D49" s="766" t="s">
        <v>157</v>
      </c>
      <c r="E49" s="1284"/>
      <c r="F49" s="1284"/>
      <c r="G49" s="1284"/>
      <c r="H49" s="1284"/>
      <c r="I49" s="1286"/>
      <c r="J49" s="1286"/>
      <c r="K49" s="1285" t="str">
        <f>J48&amp;".1"</f>
        <v>....1.1.1</v>
      </c>
      <c r="L49" s="767" t="s">
        <v>409</v>
      </c>
      <c r="P49" s="1287"/>
      <c r="Q49" s="1287"/>
      <c r="R49" s="206">
        <v>1</v>
      </c>
      <c r="S49" s="706" t="str">
        <f>$K49</f>
        <v>....1.1.1</v>
      </c>
      <c r="T49" s="762"/>
      <c r="U49" s="168"/>
      <c r="V49" s="303"/>
      <c r="W49" s="188"/>
      <c r="X49" s="303"/>
      <c r="Y49" s="725"/>
      <c r="Z49" s="1288"/>
      <c r="AA49" s="1156" t="s">
        <v>64</v>
      </c>
      <c r="AB49" s="1288"/>
      <c r="AC49" s="1156" t="s">
        <v>64</v>
      </c>
      <c r="AD49" s="303"/>
      <c r="AE49" s="188"/>
      <c r="AF49" s="303"/>
      <c r="AG49" s="725"/>
      <c r="AH49" s="1288"/>
      <c r="AI49" s="1156" t="s">
        <v>64</v>
      </c>
      <c r="AJ49" s="1290"/>
      <c r="AK49" s="1156" t="s">
        <v>64</v>
      </c>
      <c r="AL49" s="763"/>
      <c r="AM49" s="1306" t="s">
        <v>410</v>
      </c>
      <c r="AN49" s="65" t="e">
        <f ca="1">STRCHECKDATE(V50:AL50)</f>
        <v>#NAME?</v>
      </c>
      <c r="AO49" s="66"/>
      <c r="AP49" s="66" t="str">
        <f t="shared" si="1"/>
        <v/>
      </c>
      <c r="AQ49" s="66"/>
      <c r="AR49" s="66"/>
      <c r="AS49" s="10">
        <v>23</v>
      </c>
    </row>
    <row r="50" spans="1:45" ht="1.1499999999999999" customHeight="1">
      <c r="A50" s="766" t="s">
        <v>154</v>
      </c>
      <c r="B50" s="766" t="s">
        <v>155</v>
      </c>
      <c r="C50" s="766" t="s">
        <v>156</v>
      </c>
      <c r="D50" s="766" t="s">
        <v>157</v>
      </c>
      <c r="E50" s="1284"/>
      <c r="F50" s="1284"/>
      <c r="G50" s="1284"/>
      <c r="H50" s="1284"/>
      <c r="I50" s="1286"/>
      <c r="J50" s="1286"/>
      <c r="K50" s="1285"/>
      <c r="L50" s="767"/>
      <c r="P50" s="1287"/>
      <c r="Q50" s="1287"/>
      <c r="R50" s="206"/>
      <c r="S50" s="62"/>
      <c r="T50" s="168"/>
      <c r="U50" s="168"/>
      <c r="V50" s="188"/>
      <c r="W50" s="188"/>
      <c r="X50" s="188"/>
      <c r="Y50" s="189" t="str">
        <f>Z49&amp;"-"&amp;AB49</f>
        <v>-</v>
      </c>
      <c r="Z50" s="1289"/>
      <c r="AA50" s="1156"/>
      <c r="AB50" s="1289"/>
      <c r="AC50" s="1156"/>
      <c r="AD50" s="188"/>
      <c r="AE50" s="188"/>
      <c r="AF50" s="188"/>
      <c r="AG50" s="189" t="str">
        <f>AH49&amp;"-"&amp;AJ49</f>
        <v>-</v>
      </c>
      <c r="AH50" s="1289"/>
      <c r="AI50" s="1156"/>
      <c r="AJ50" s="1291"/>
      <c r="AK50" s="1156"/>
      <c r="AL50" s="764"/>
      <c r="AM50" s="1307"/>
      <c r="AO50" s="66"/>
      <c r="AP50" s="66" t="str">
        <f t="shared" si="1"/>
        <v/>
      </c>
      <c r="AQ50" s="66"/>
      <c r="AR50" s="66"/>
      <c r="AS50" s="10">
        <v>1</v>
      </c>
    </row>
    <row r="51" spans="1:45" ht="11.45" customHeight="1">
      <c r="A51" s="766" t="s">
        <v>154</v>
      </c>
      <c r="B51" s="766" t="s">
        <v>155</v>
      </c>
      <c r="C51" s="766" t="s">
        <v>156</v>
      </c>
      <c r="D51" s="766" t="s">
        <v>157</v>
      </c>
      <c r="E51" s="1284"/>
      <c r="F51" s="1284"/>
      <c r="G51" s="1284"/>
      <c r="H51" s="1284"/>
      <c r="I51" s="1286"/>
      <c r="J51" s="1285"/>
      <c r="K51" s="766"/>
      <c r="L51" s="767"/>
      <c r="P51" s="1287"/>
      <c r="Q51" s="1287"/>
      <c r="R51" s="205"/>
      <c r="S51" s="739"/>
      <c r="T51" s="164" t="s">
        <v>411</v>
      </c>
      <c r="U51" s="210"/>
      <c r="V51" s="210"/>
      <c r="W51" s="210"/>
      <c r="X51" s="210"/>
      <c r="Y51" s="210"/>
      <c r="Z51" s="210"/>
      <c r="AA51" s="210"/>
      <c r="AB51" s="210"/>
      <c r="AC51" s="210"/>
      <c r="AD51" s="210"/>
      <c r="AE51" s="210"/>
      <c r="AF51" s="210"/>
      <c r="AG51" s="210"/>
      <c r="AH51" s="210"/>
      <c r="AI51" s="210"/>
      <c r="AJ51" s="210"/>
      <c r="AK51" s="210"/>
      <c r="AL51" s="187"/>
      <c r="AM51" s="1308"/>
      <c r="AO51" s="66"/>
      <c r="AP51" s="66" t="str">
        <f t="shared" si="1"/>
        <v>Добавить вид теплоносителя (параметры теплоносителя)</v>
      </c>
      <c r="AQ51" s="66"/>
      <c r="AR51" s="66"/>
      <c r="AS51" s="10">
        <v>11</v>
      </c>
    </row>
    <row r="52" spans="1:45" ht="11.45" customHeight="1">
      <c r="A52" s="766" t="s">
        <v>154</v>
      </c>
      <c r="B52" s="766" t="s">
        <v>155</v>
      </c>
      <c r="C52" s="766" t="s">
        <v>156</v>
      </c>
      <c r="D52" s="766" t="s">
        <v>157</v>
      </c>
      <c r="E52" s="1284"/>
      <c r="F52" s="1284"/>
      <c r="G52" s="1284"/>
      <c r="H52" s="1284"/>
      <c r="I52" s="1285"/>
      <c r="J52" s="766"/>
      <c r="K52" s="766"/>
      <c r="L52" s="767"/>
      <c r="P52" s="1287"/>
      <c r="Q52" s="119"/>
      <c r="R52" s="205"/>
      <c r="S52" s="739"/>
      <c r="T52" s="163" t="s">
        <v>412</v>
      </c>
      <c r="U52" s="210"/>
      <c r="V52" s="210"/>
      <c r="W52" s="210"/>
      <c r="X52" s="210"/>
      <c r="Y52" s="210"/>
      <c r="Z52" s="210"/>
      <c r="AA52" s="210"/>
      <c r="AB52" s="210"/>
      <c r="AC52" s="209"/>
      <c r="AD52" s="210"/>
      <c r="AE52" s="210"/>
      <c r="AF52" s="210"/>
      <c r="AG52" s="210"/>
      <c r="AH52" s="210"/>
      <c r="AI52" s="210"/>
      <c r="AJ52" s="210"/>
      <c r="AK52" s="209"/>
      <c r="AL52" s="210"/>
      <c r="AM52" s="171"/>
      <c r="AO52" s="66"/>
      <c r="AP52" s="66" t="str">
        <f t="shared" si="1"/>
        <v>Добавить группу потребителей</v>
      </c>
      <c r="AQ52" s="66"/>
      <c r="AR52" s="66"/>
      <c r="AS52" s="10">
        <v>11</v>
      </c>
    </row>
    <row r="53" spans="1:45" ht="14.65" customHeight="1">
      <c r="A53" s="766" t="s">
        <v>154</v>
      </c>
      <c r="B53" s="766" t="s">
        <v>155</v>
      </c>
      <c r="C53" s="766" t="s">
        <v>156</v>
      </c>
      <c r="D53" s="766" t="s">
        <v>157</v>
      </c>
      <c r="E53" s="1284"/>
      <c r="F53" s="1284"/>
      <c r="G53" s="1284"/>
      <c r="H53" s="1283"/>
      <c r="I53" s="766"/>
      <c r="J53" s="766"/>
      <c r="K53" s="766"/>
      <c r="L53" s="767"/>
      <c r="M53" s="423"/>
      <c r="N53" s="423"/>
      <c r="O53" s="60"/>
      <c r="P53" s="33"/>
      <c r="Q53" s="213"/>
      <c r="R53" s="204"/>
      <c r="S53" s="739"/>
      <c r="T53" s="208" t="s">
        <v>413</v>
      </c>
      <c r="U53" s="210"/>
      <c r="V53" s="210"/>
      <c r="W53" s="210"/>
      <c r="X53" s="210"/>
      <c r="Y53" s="210"/>
      <c r="Z53" s="210"/>
      <c r="AA53" s="210"/>
      <c r="AB53" s="210"/>
      <c r="AC53" s="209"/>
      <c r="AD53" s="210"/>
      <c r="AE53" s="210"/>
      <c r="AF53" s="210"/>
      <c r="AG53" s="210"/>
      <c r="AH53" s="210"/>
      <c r="AI53" s="210"/>
      <c r="AJ53" s="210"/>
      <c r="AK53" s="209"/>
      <c r="AL53" s="210"/>
      <c r="AM53" s="171"/>
      <c r="AO53" s="66"/>
      <c r="AP53" s="66" t="str">
        <f t="shared" si="1"/>
        <v>Добавить схему подключения</v>
      </c>
      <c r="AQ53" s="66"/>
      <c r="AR53" s="66"/>
      <c r="AS53" s="10">
        <v>14</v>
      </c>
    </row>
    <row r="54" spans="1:45" s="65" customFormat="1" ht="1.1499999999999999" customHeight="1">
      <c r="A54" s="142" t="s">
        <v>154</v>
      </c>
      <c r="B54" s="142" t="s">
        <v>155</v>
      </c>
      <c r="C54" s="142" t="s">
        <v>156</v>
      </c>
      <c r="D54" s="142"/>
      <c r="E54" s="1284"/>
      <c r="F54" s="1284"/>
      <c r="G54" s="1283"/>
      <c r="H54" s="142"/>
      <c r="I54" s="142"/>
      <c r="J54" s="142"/>
      <c r="K54" s="142"/>
      <c r="L54" s="343"/>
      <c r="M54" s="290"/>
      <c r="N54" s="290"/>
      <c r="P54" s="101"/>
      <c r="Q54" s="752"/>
      <c r="R54" s="101"/>
      <c r="S54" s="757"/>
      <c r="T54" s="759" t="s">
        <v>414</v>
      </c>
      <c r="U54" s="310"/>
      <c r="V54" s="310"/>
      <c r="W54" s="310"/>
      <c r="X54" s="310"/>
      <c r="Y54" s="310"/>
      <c r="Z54" s="310"/>
      <c r="AA54" s="310"/>
      <c r="AB54" s="310"/>
      <c r="AC54" s="310"/>
      <c r="AD54" s="310"/>
      <c r="AE54" s="310"/>
      <c r="AF54" s="310"/>
      <c r="AG54" s="310"/>
      <c r="AH54" s="310"/>
      <c r="AI54" s="310"/>
      <c r="AJ54" s="310"/>
      <c r="AK54" s="310"/>
      <c r="AL54" s="310"/>
      <c r="AM54" s="310"/>
      <c r="AO54" s="66"/>
      <c r="AP54" s="66" t="str">
        <f t="shared" si="1"/>
        <v>Добавить источник для дифференциации</v>
      </c>
      <c r="AQ54" s="66"/>
      <c r="AR54" s="66"/>
      <c r="AS54" s="65">
        <v>1</v>
      </c>
    </row>
    <row r="55" spans="1:45" s="65" customFormat="1" ht="1.1499999999999999" customHeight="1">
      <c r="A55" s="142" t="s">
        <v>154</v>
      </c>
      <c r="B55" s="142" t="s">
        <v>155</v>
      </c>
      <c r="C55" s="142"/>
      <c r="D55" s="142"/>
      <c r="E55" s="1284"/>
      <c r="F55" s="1283"/>
      <c r="G55" s="142"/>
      <c r="H55" s="142"/>
      <c r="I55" s="142"/>
      <c r="J55" s="142"/>
      <c r="K55" s="142"/>
      <c r="L55" s="343"/>
      <c r="M55" s="756"/>
      <c r="N55" s="756"/>
      <c r="P55" s="101"/>
      <c r="Q55" s="752"/>
      <c r="R55" s="101"/>
      <c r="S55" s="757"/>
      <c r="T55" s="759" t="s">
        <v>231</v>
      </c>
      <c r="U55" s="310"/>
      <c r="V55" s="310"/>
      <c r="W55" s="310"/>
      <c r="X55" s="310"/>
      <c r="Y55" s="310"/>
      <c r="Z55" s="310"/>
      <c r="AA55" s="310"/>
      <c r="AB55" s="310"/>
      <c r="AC55" s="310"/>
      <c r="AD55" s="310"/>
      <c r="AE55" s="310"/>
      <c r="AF55" s="310"/>
      <c r="AG55" s="310"/>
      <c r="AH55" s="310"/>
      <c r="AI55" s="310"/>
      <c r="AJ55" s="310"/>
      <c r="AK55" s="310"/>
      <c r="AL55" s="310"/>
      <c r="AM55" s="310"/>
      <c r="AO55" s="66"/>
      <c r="AP55" s="66" t="str">
        <f t="shared" si="1"/>
        <v>Добавить централизованную систему для дифференциации</v>
      </c>
      <c r="AQ55" s="66"/>
      <c r="AR55" s="66"/>
      <c r="AS55" s="65">
        <v>1</v>
      </c>
    </row>
    <row r="56" spans="1:45" s="65" customFormat="1" ht="1.1499999999999999" customHeight="1">
      <c r="A56" s="142" t="s">
        <v>154</v>
      </c>
      <c r="B56" s="142"/>
      <c r="C56" s="142"/>
      <c r="D56" s="142"/>
      <c r="E56" s="1283"/>
      <c r="F56" s="142"/>
      <c r="G56" s="142"/>
      <c r="H56" s="142"/>
      <c r="I56" s="142"/>
      <c r="J56" s="142"/>
      <c r="K56" s="142"/>
      <c r="L56" s="343"/>
      <c r="M56" s="756"/>
      <c r="N56" s="756"/>
      <c r="P56" s="101"/>
      <c r="Q56" s="752"/>
      <c r="R56" s="101"/>
      <c r="S56" s="757"/>
      <c r="T56" s="759" t="s">
        <v>232</v>
      </c>
      <c r="U56" s="310"/>
      <c r="V56" s="310"/>
      <c r="W56" s="310"/>
      <c r="X56" s="310"/>
      <c r="Y56" s="310"/>
      <c r="Z56" s="310"/>
      <c r="AA56" s="310"/>
      <c r="AB56" s="310"/>
      <c r="AC56" s="310"/>
      <c r="AD56" s="310"/>
      <c r="AE56" s="310"/>
      <c r="AF56" s="310"/>
      <c r="AG56" s="310"/>
      <c r="AH56" s="310"/>
      <c r="AI56" s="310"/>
      <c r="AJ56" s="310"/>
      <c r="AK56" s="310"/>
      <c r="AL56" s="310"/>
      <c r="AM56" s="310"/>
      <c r="AO56" s="66"/>
      <c r="AP56" s="66" t="str">
        <f t="shared" si="1"/>
        <v>Добавить территорию для дифференциации</v>
      </c>
      <c r="AQ56" s="66"/>
      <c r="AR56" s="66"/>
      <c r="AS56" s="65">
        <v>1</v>
      </c>
    </row>
    <row r="57" spans="1:45" s="65" customFormat="1" ht="1.1499999999999999" customHeight="1">
      <c r="A57" s="142"/>
      <c r="B57" s="142"/>
      <c r="C57" s="142"/>
      <c r="D57" s="142"/>
      <c r="E57" s="142"/>
      <c r="F57" s="142"/>
      <c r="G57" s="142"/>
      <c r="H57" s="142"/>
      <c r="I57" s="142"/>
      <c r="J57" s="142"/>
      <c r="K57" s="142"/>
      <c r="L57" s="343"/>
      <c r="M57" s="756"/>
      <c r="N57" s="756"/>
      <c r="P57" s="101"/>
      <c r="Q57" s="752"/>
      <c r="R57" s="101"/>
      <c r="S57" s="757"/>
      <c r="T57" s="759" t="s">
        <v>233</v>
      </c>
      <c r="U57" s="310"/>
      <c r="V57" s="310"/>
      <c r="W57" s="310"/>
      <c r="X57" s="310"/>
      <c r="Y57" s="310"/>
      <c r="Z57" s="310"/>
      <c r="AA57" s="310"/>
      <c r="AB57" s="310"/>
      <c r="AC57" s="310"/>
      <c r="AD57" s="310"/>
      <c r="AE57" s="310"/>
      <c r="AF57" s="310"/>
      <c r="AG57" s="310"/>
      <c r="AH57" s="310"/>
      <c r="AI57" s="310"/>
      <c r="AJ57" s="310"/>
      <c r="AK57" s="310"/>
      <c r="AL57" s="310"/>
      <c r="AM57" s="310"/>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28.5" customHeight="1">
      <c r="O59" s="60"/>
      <c r="S59" s="195"/>
      <c r="T59" s="1282"/>
      <c r="U59" s="1282"/>
      <c r="V59" s="1282"/>
      <c r="W59" s="1282"/>
      <c r="X59" s="1282"/>
      <c r="Y59" s="1282"/>
      <c r="Z59" s="1282"/>
      <c r="AA59" s="1282"/>
      <c r="AB59" s="1282"/>
      <c r="AC59" s="1282"/>
      <c r="AD59" s="1282"/>
      <c r="AE59" s="1282"/>
      <c r="AF59" s="1282"/>
      <c r="AG59" s="1282"/>
      <c r="AH59" s="1282"/>
      <c r="AI59" s="1282"/>
      <c r="AJ59" s="1282"/>
      <c r="AK59" s="1282"/>
      <c r="AL59" s="1282"/>
      <c r="AM59" s="1282"/>
      <c r="AS59" s="10">
        <v>27</v>
      </c>
    </row>
    <row r="60" spans="1:45" ht="67.150000000000006" customHeight="1">
      <c r="O60" s="60"/>
      <c r="T60" s="1282"/>
      <c r="U60" s="1282"/>
      <c r="V60" s="1282"/>
      <c r="W60" s="1282"/>
      <c r="X60" s="1282"/>
      <c r="Y60" s="1282"/>
      <c r="Z60" s="1282"/>
      <c r="AA60" s="1282"/>
      <c r="AB60" s="1282"/>
      <c r="AC60" s="1282"/>
      <c r="AD60" s="1282"/>
      <c r="AE60" s="1282"/>
      <c r="AF60" s="1282"/>
      <c r="AG60" s="1282"/>
      <c r="AH60" s="1282"/>
      <c r="AI60" s="1282"/>
      <c r="AJ60" s="1282"/>
      <c r="AK60" s="1282"/>
      <c r="AL60" s="1282"/>
      <c r="AM60" s="1282"/>
      <c r="AS60" s="10">
        <v>64</v>
      </c>
    </row>
    <row r="61" spans="1:45" ht="14.65" customHeight="1">
      <c r="O61" s="60"/>
      <c r="AS61" s="10">
        <v>14</v>
      </c>
    </row>
    <row r="62" spans="1:45" ht="18.75" customHeight="1">
      <c r="O62" s="60"/>
      <c r="S62" s="195"/>
      <c r="T62" s="1282"/>
      <c r="U62" s="1282"/>
      <c r="V62" s="1282"/>
      <c r="W62" s="1282"/>
      <c r="X62" s="1282"/>
      <c r="Y62" s="1282"/>
      <c r="Z62" s="1282"/>
      <c r="AA62" s="1282"/>
      <c r="AB62" s="1282"/>
      <c r="AC62" s="1282"/>
      <c r="AD62" s="1282"/>
      <c r="AE62" s="1282"/>
      <c r="AF62" s="1282"/>
      <c r="AG62" s="1282"/>
      <c r="AH62" s="1282"/>
      <c r="AI62" s="1282"/>
      <c r="AJ62" s="1282"/>
      <c r="AK62" s="1282"/>
      <c r="AL62" s="1282"/>
      <c r="AM62" s="1282"/>
      <c r="AS62" s="10">
        <v>18</v>
      </c>
    </row>
    <row r="63" spans="1:45" ht="18.75" customHeight="1">
      <c r="O63" s="60"/>
      <c r="T63" s="1282"/>
      <c r="U63" s="1282"/>
      <c r="V63" s="1282"/>
      <c r="W63" s="1282"/>
      <c r="X63" s="1282"/>
      <c r="Y63" s="1282"/>
      <c r="Z63" s="1282"/>
      <c r="AA63" s="1282"/>
      <c r="AB63" s="1282"/>
      <c r="AC63" s="1282"/>
      <c r="AD63" s="1282"/>
      <c r="AE63" s="1282"/>
      <c r="AF63" s="1282"/>
      <c r="AG63" s="1282"/>
      <c r="AH63" s="1282"/>
      <c r="AI63" s="1282"/>
      <c r="AJ63" s="1282"/>
      <c r="AK63" s="1282"/>
      <c r="AL63" s="1282"/>
      <c r="AM63" s="1282"/>
      <c r="AS63" s="10">
        <v>18</v>
      </c>
    </row>
    <row r="64" spans="1:45" ht="29.25" customHeight="1">
      <c r="O64" s="60"/>
      <c r="S64" s="195"/>
      <c r="T64" s="1282"/>
      <c r="U64" s="1282"/>
      <c r="V64" s="1282"/>
      <c r="W64" s="1282"/>
      <c r="X64" s="1282"/>
      <c r="Y64" s="1282"/>
      <c r="Z64" s="1282"/>
      <c r="AA64" s="1282"/>
      <c r="AB64" s="1282"/>
      <c r="AC64" s="1282"/>
      <c r="AD64" s="1282"/>
      <c r="AE64" s="1282"/>
      <c r="AF64" s="1282"/>
      <c r="AG64" s="1282"/>
      <c r="AH64" s="1282"/>
      <c r="AI64" s="1282"/>
      <c r="AJ64" s="1282"/>
      <c r="AK64" s="1282"/>
      <c r="AL64" s="1282"/>
      <c r="AM64" s="1282"/>
      <c r="AS64" s="10">
        <v>28</v>
      </c>
    </row>
    <row r="65" spans="1:45" ht="22.5" hidden="1" customHeight="1">
      <c r="A65" s="60" t="s">
        <v>80</v>
      </c>
      <c r="B65" s="60">
        <v>0</v>
      </c>
      <c r="C65" s="60">
        <v>0</v>
      </c>
      <c r="D65" s="60">
        <v>0</v>
      </c>
      <c r="E65" s="60">
        <v>0</v>
      </c>
      <c r="F65" s="60">
        <v>0</v>
      </c>
      <c r="G65" s="60">
        <v>0</v>
      </c>
      <c r="H65" s="60">
        <v>0</v>
      </c>
      <c r="I65" s="60">
        <v>0</v>
      </c>
      <c r="J65" s="60">
        <v>0</v>
      </c>
      <c r="K65" s="60">
        <v>0</v>
      </c>
      <c r="L65" s="298">
        <v>0</v>
      </c>
      <c r="M65" s="503">
        <v>0</v>
      </c>
      <c r="N65" s="503">
        <v>0</v>
      </c>
      <c r="O65" s="503">
        <v>0</v>
      </c>
      <c r="P65" s="32">
        <v>3</v>
      </c>
      <c r="Q65" s="28">
        <v>3</v>
      </c>
      <c r="R65" s="28">
        <v>3</v>
      </c>
      <c r="S65" s="339">
        <v>12</v>
      </c>
      <c r="T65" s="10">
        <v>35</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5">
        <v>10</v>
      </c>
      <c r="AO65" s="65">
        <v>10</v>
      </c>
      <c r="AP65" s="65">
        <v>10</v>
      </c>
      <c r="AQ65" s="65">
        <v>10</v>
      </c>
      <c r="AR65" s="65">
        <v>10</v>
      </c>
      <c r="AS65" s="1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8" hidden="1" customWidth="1"/>
    <col min="13" max="14" width="12.28515625" style="503" hidden="1" customWidth="1"/>
    <col min="15" max="15" width="23.42578125" style="503" hidden="1" customWidth="1"/>
    <col min="16" max="16" width="3" style="32" customWidth="1"/>
    <col min="17" max="18" width="3" style="28" customWidth="1"/>
    <col min="19" max="19" width="12" style="339"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66"/>
      <c r="B2" s="766"/>
      <c r="C2" s="766"/>
      <c r="D2" s="766"/>
      <c r="E2" s="1283">
        <v>1</v>
      </c>
      <c r="F2" s="766"/>
      <c r="G2" s="766"/>
      <c r="H2" s="766"/>
      <c r="I2" s="766"/>
      <c r="J2" s="766"/>
      <c r="K2" s="766"/>
      <c r="L2" s="767"/>
      <c r="M2" s="423"/>
      <c r="N2" s="423"/>
      <c r="O2" s="423"/>
      <c r="Q2" s="33"/>
      <c r="R2" s="204"/>
      <c r="S2" s="706" t="e">
        <f>INDEX(PT_DIFFERENTIATION_NUM_NTAR,MATCH(A2,PT_DIFFERENTIATION_NTAR_ID,0))</f>
        <v>#N/A</v>
      </c>
      <c r="T2" s="64" t="s">
        <v>121</v>
      </c>
      <c r="U2" s="168"/>
      <c r="V2" s="1277"/>
      <c r="W2" s="1278"/>
      <c r="X2" s="1278"/>
      <c r="Y2" s="1278"/>
      <c r="Z2" s="1278"/>
      <c r="AA2" s="1278"/>
      <c r="AB2" s="1278"/>
      <c r="AC2" s="1279"/>
      <c r="AD2" s="1277" t="e">
        <f>INDEX(PT_DIFFERENTIATION_NTAR,MATCH(A2,PT_DIFFERENTIATION_NTAR_ID,0))</f>
        <v>#N/A</v>
      </c>
      <c r="AE2" s="1278"/>
      <c r="AF2" s="1278"/>
      <c r="AG2" s="1278"/>
      <c r="AH2" s="1278"/>
      <c r="AI2" s="1278"/>
      <c r="AJ2" s="1278"/>
      <c r="AK2" s="1278"/>
      <c r="AL2" s="1279"/>
      <c r="AM2" s="726" t="s">
        <v>396</v>
      </c>
      <c r="AO2" s="66"/>
      <c r="AP2" s="66" t="str">
        <f t="shared" ref="AP2:AP15" si="0">IF(T2="","",T2)</f>
        <v>Наименование тарифа</v>
      </c>
      <c r="AQ2" s="66"/>
      <c r="AR2" s="66"/>
      <c r="AS2" s="10">
        <v>0</v>
      </c>
    </row>
    <row r="3" spans="1:45" ht="21" hidden="1" customHeight="1">
      <c r="A3" s="766"/>
      <c r="B3" s="766"/>
      <c r="C3" s="766"/>
      <c r="D3" s="766"/>
      <c r="E3" s="1284"/>
      <c r="F3" s="1283">
        <v>1</v>
      </c>
      <c r="G3" s="766"/>
      <c r="H3" s="766"/>
      <c r="I3" s="766"/>
      <c r="J3" s="766"/>
      <c r="K3" s="766"/>
      <c r="L3" s="767"/>
      <c r="M3" s="423"/>
      <c r="N3" s="423"/>
      <c r="O3" s="423"/>
      <c r="P3" s="56"/>
      <c r="Q3" s="201"/>
      <c r="R3" s="202"/>
      <c r="S3" s="706" t="e">
        <f>INDEX(PT_DIFFERENTIATION_NUM_TER,MATCH(B3,PT_DIFFERENTIATION_TER_ID,0))</f>
        <v>#N/A</v>
      </c>
      <c r="T3" s="174" t="s">
        <v>397</v>
      </c>
      <c r="U3" s="168"/>
      <c r="V3" s="1277"/>
      <c r="W3" s="1278"/>
      <c r="X3" s="1278"/>
      <c r="Y3" s="1278"/>
      <c r="Z3" s="1278"/>
      <c r="AA3" s="1278"/>
      <c r="AB3" s="1278"/>
      <c r="AC3" s="1279"/>
      <c r="AD3" s="1277" t="e">
        <f>INDEX(PT_DIFFERENTIATION_TER,MATCH(B3,PT_DIFFERENTIATION_TER_ID,0))</f>
        <v>#N/A</v>
      </c>
      <c r="AE3" s="1278"/>
      <c r="AF3" s="1278"/>
      <c r="AG3" s="1278"/>
      <c r="AH3" s="1278"/>
      <c r="AI3" s="1278"/>
      <c r="AJ3" s="1278"/>
      <c r="AK3" s="1278"/>
      <c r="AL3" s="1279"/>
      <c r="AM3" s="726" t="s">
        <v>398</v>
      </c>
      <c r="AO3" s="66"/>
      <c r="AP3" s="66" t="str">
        <f t="shared" si="0"/>
        <v>Территория действия тарифа</v>
      </c>
      <c r="AQ3" s="66"/>
      <c r="AR3" s="66"/>
      <c r="AS3" s="10">
        <v>0</v>
      </c>
    </row>
    <row r="4" spans="1:45" ht="23.25" hidden="1" customHeight="1">
      <c r="A4" s="766"/>
      <c r="B4" s="766"/>
      <c r="C4" s="766"/>
      <c r="D4" s="766"/>
      <c r="E4" s="1284"/>
      <c r="F4" s="1284"/>
      <c r="G4" s="1283">
        <v>1</v>
      </c>
      <c r="H4" s="766"/>
      <c r="I4" s="766"/>
      <c r="J4" s="766"/>
      <c r="K4" s="766"/>
      <c r="L4" s="767"/>
      <c r="M4" s="423"/>
      <c r="N4" s="423"/>
      <c r="O4" s="423"/>
      <c r="P4" s="203"/>
      <c r="Q4" s="201"/>
      <c r="R4" s="202"/>
      <c r="S4" s="706" t="e">
        <f>INDEX(PT_DIFFERENTIATION_NUM_CS,MATCH(C4,PT_DIFFERENTIATION_CS_ID,0))</f>
        <v>#N/A</v>
      </c>
      <c r="T4" s="175" t="s">
        <v>399</v>
      </c>
      <c r="U4" s="168"/>
      <c r="V4" s="1277"/>
      <c r="W4" s="1278"/>
      <c r="X4" s="1278"/>
      <c r="Y4" s="1278"/>
      <c r="Z4" s="1278"/>
      <c r="AA4" s="1278"/>
      <c r="AB4" s="1278"/>
      <c r="AC4" s="1279"/>
      <c r="AD4" s="1277" t="e">
        <f>INDEX(PT_DIFFERENTIATION_CS,MATCH(C4,PT_DIFFERENTIATION_CS_ID,0))</f>
        <v>#N/A</v>
      </c>
      <c r="AE4" s="1278"/>
      <c r="AF4" s="1278"/>
      <c r="AG4" s="1278"/>
      <c r="AH4" s="1278"/>
      <c r="AI4" s="1278"/>
      <c r="AJ4" s="1278"/>
      <c r="AK4" s="1278"/>
      <c r="AL4" s="1279"/>
      <c r="AM4" s="726" t="s">
        <v>400</v>
      </c>
      <c r="AO4" s="66"/>
      <c r="AP4" s="66" t="str">
        <f t="shared" si="0"/>
        <v xml:space="preserve">Наименование системы теплоснабжения </v>
      </c>
      <c r="AQ4" s="66"/>
      <c r="AR4" s="66"/>
      <c r="AS4" s="10">
        <v>0</v>
      </c>
    </row>
    <row r="5" spans="1:45" ht="21" hidden="1" customHeight="1">
      <c r="A5" s="766"/>
      <c r="B5" s="766"/>
      <c r="C5" s="766"/>
      <c r="D5" s="766"/>
      <c r="E5" s="1284"/>
      <c r="F5" s="1284"/>
      <c r="G5" s="1284"/>
      <c r="H5" s="1283">
        <v>1</v>
      </c>
      <c r="I5" s="766"/>
      <c r="J5" s="766"/>
      <c r="K5" s="766"/>
      <c r="L5" s="767"/>
      <c r="M5" s="423"/>
      <c r="N5" s="423"/>
      <c r="O5" s="423"/>
      <c r="P5" s="203"/>
      <c r="Q5" s="201"/>
      <c r="R5" s="202"/>
      <c r="S5" s="706" t="e">
        <f>INDEX(PT_DIFFERENTIATION_NUM_IST_TE,MATCH(D5,PT_DIFFERENTIATION_IST_TE_ID,0))</f>
        <v>#N/A</v>
      </c>
      <c r="T5" s="176" t="s">
        <v>401</v>
      </c>
      <c r="U5" s="168"/>
      <c r="V5" s="1277"/>
      <c r="W5" s="1278"/>
      <c r="X5" s="1278"/>
      <c r="Y5" s="1278"/>
      <c r="Z5" s="1278"/>
      <c r="AA5" s="1278"/>
      <c r="AB5" s="1278"/>
      <c r="AC5" s="1279"/>
      <c r="AD5" s="1277" t="e">
        <f>INDEX(PT_DIFFERENTIATION_IST_TE,MATCH(D5,PT_DIFFERENTIATION_IST_TE_ID,0))</f>
        <v>#N/A</v>
      </c>
      <c r="AE5" s="1278"/>
      <c r="AF5" s="1278"/>
      <c r="AG5" s="1278"/>
      <c r="AH5" s="1278"/>
      <c r="AI5" s="1278"/>
      <c r="AJ5" s="1278"/>
      <c r="AK5" s="1278"/>
      <c r="AL5" s="1279"/>
      <c r="AM5" s="726" t="s">
        <v>402</v>
      </c>
      <c r="AO5" s="66"/>
      <c r="AP5" s="66" t="str">
        <f t="shared" si="0"/>
        <v xml:space="preserve">Источник тепловой энергии  </v>
      </c>
      <c r="AQ5" s="66"/>
      <c r="AR5" s="66"/>
      <c r="AS5" s="10">
        <v>0</v>
      </c>
    </row>
    <row r="6" spans="1:45" ht="47.25" hidden="1" customHeight="1">
      <c r="A6" s="766"/>
      <c r="B6" s="766"/>
      <c r="C6" s="766"/>
      <c r="D6" s="766"/>
      <c r="E6" s="1284"/>
      <c r="F6" s="1284"/>
      <c r="G6" s="1284"/>
      <c r="H6" s="1284"/>
      <c r="I6" s="1285" t="e">
        <f>S5&amp;".1"</f>
        <v>#N/A</v>
      </c>
      <c r="J6" s="766"/>
      <c r="K6" s="766"/>
      <c r="L6" s="767" t="s">
        <v>403</v>
      </c>
      <c r="M6" s="60"/>
      <c r="P6" s="1287">
        <v>1</v>
      </c>
      <c r="Q6" s="119"/>
      <c r="R6" s="205"/>
      <c r="S6" s="706" t="e">
        <f>$I6</f>
        <v>#N/A</v>
      </c>
      <c r="T6" s="161" t="s">
        <v>404</v>
      </c>
      <c r="U6" s="168"/>
      <c r="V6" s="1271"/>
      <c r="W6" s="1272"/>
      <c r="X6" s="1272"/>
      <c r="Y6" s="1272"/>
      <c r="Z6" s="1272"/>
      <c r="AA6" s="1272"/>
      <c r="AB6" s="1272"/>
      <c r="AC6" s="1273"/>
      <c r="AD6" s="1271"/>
      <c r="AE6" s="1272"/>
      <c r="AF6" s="1272"/>
      <c r="AG6" s="1272"/>
      <c r="AH6" s="1272"/>
      <c r="AI6" s="1272"/>
      <c r="AJ6" s="1272"/>
      <c r="AK6" s="1272"/>
      <c r="AL6" s="1273"/>
      <c r="AM6" s="726" t="s">
        <v>405</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66"/>
      <c r="B7" s="766"/>
      <c r="C7" s="766"/>
      <c r="D7" s="766"/>
      <c r="E7" s="1284"/>
      <c r="F7" s="1284"/>
      <c r="G7" s="1284"/>
      <c r="H7" s="1284"/>
      <c r="I7" s="1286"/>
      <c r="J7" s="1285" t="e">
        <f>I6&amp;".1"</f>
        <v>#N/A</v>
      </c>
      <c r="K7" s="766"/>
      <c r="L7" s="767" t="s">
        <v>406</v>
      </c>
      <c r="M7" s="60"/>
      <c r="N7" s="60"/>
      <c r="P7" s="1287"/>
      <c r="Q7" s="1287">
        <v>1</v>
      </c>
      <c r="R7" s="206"/>
      <c r="S7" s="706" t="e">
        <f>$J7</f>
        <v>#N/A</v>
      </c>
      <c r="T7" s="162" t="s">
        <v>407</v>
      </c>
      <c r="U7" s="168"/>
      <c r="V7" s="1271"/>
      <c r="W7" s="1272"/>
      <c r="X7" s="1272"/>
      <c r="Y7" s="1272"/>
      <c r="Z7" s="1272"/>
      <c r="AA7" s="1272"/>
      <c r="AB7" s="1272"/>
      <c r="AC7" s="1273"/>
      <c r="AD7" s="1271"/>
      <c r="AE7" s="1272"/>
      <c r="AF7" s="1272"/>
      <c r="AG7" s="1272"/>
      <c r="AH7" s="1272"/>
      <c r="AI7" s="1272"/>
      <c r="AJ7" s="1272"/>
      <c r="AK7" s="1272"/>
      <c r="AL7" s="1273"/>
      <c r="AM7" s="726" t="s">
        <v>408</v>
      </c>
      <c r="AO7" s="66"/>
      <c r="AP7" s="66" t="str">
        <f t="shared" si="0"/>
        <v>Группа потребителей</v>
      </c>
      <c r="AQ7" s="66"/>
      <c r="AR7" s="66"/>
      <c r="AS7" s="10">
        <v>0</v>
      </c>
    </row>
    <row r="8" spans="1:45" ht="21" hidden="1" customHeight="1">
      <c r="A8" s="766"/>
      <c r="B8" s="766"/>
      <c r="C8" s="766"/>
      <c r="D8" s="766"/>
      <c r="E8" s="1284"/>
      <c r="F8" s="1284"/>
      <c r="G8" s="1284"/>
      <c r="H8" s="1284"/>
      <c r="I8" s="1286"/>
      <c r="J8" s="1286"/>
      <c r="K8" s="1285" t="e">
        <f>J7&amp;".1"</f>
        <v>#N/A</v>
      </c>
      <c r="L8" s="767" t="s">
        <v>409</v>
      </c>
      <c r="M8" s="60"/>
      <c r="N8" s="60"/>
      <c r="O8" s="60"/>
      <c r="P8" s="1287"/>
      <c r="Q8" s="1287"/>
      <c r="R8" s="206">
        <v>1</v>
      </c>
      <c r="S8" s="706" t="e">
        <f>$K8</f>
        <v>#N/A</v>
      </c>
      <c r="T8" s="762"/>
      <c r="U8" s="168"/>
      <c r="V8" s="303"/>
      <c r="W8" s="188"/>
      <c r="X8" s="303"/>
      <c r="Y8" s="725"/>
      <c r="Z8" s="1288"/>
      <c r="AA8" s="1156" t="s">
        <v>64</v>
      </c>
      <c r="AB8" s="1288"/>
      <c r="AC8" s="1156" t="s">
        <v>64</v>
      </c>
      <c r="AD8" s="303"/>
      <c r="AE8" s="188"/>
      <c r="AF8" s="303"/>
      <c r="AG8" s="725"/>
      <c r="AH8" s="1288"/>
      <c r="AI8" s="1156" t="s">
        <v>64</v>
      </c>
      <c r="AJ8" s="1288"/>
      <c r="AK8" s="1156" t="s">
        <v>64</v>
      </c>
      <c r="AL8" s="188"/>
      <c r="AM8" s="1306" t="s">
        <v>410</v>
      </c>
      <c r="AN8" s="65" t="e">
        <f ca="1">STRCHECKDATE(V9:AL9)</f>
        <v>#NAME?</v>
      </c>
      <c r="AO8" s="66"/>
      <c r="AP8" s="66" t="str">
        <f t="shared" si="0"/>
        <v/>
      </c>
      <c r="AQ8" s="66"/>
      <c r="AR8" s="66"/>
      <c r="AS8" s="10">
        <v>0</v>
      </c>
    </row>
    <row r="9" spans="1:45" ht="0.75" hidden="1" customHeight="1">
      <c r="A9" s="766"/>
      <c r="B9" s="766"/>
      <c r="C9" s="766"/>
      <c r="D9" s="766"/>
      <c r="E9" s="1284"/>
      <c r="F9" s="1284"/>
      <c r="G9" s="1284"/>
      <c r="H9" s="1284"/>
      <c r="I9" s="1286"/>
      <c r="J9" s="1286"/>
      <c r="K9" s="1285"/>
      <c r="L9" s="767"/>
      <c r="M9" s="60"/>
      <c r="N9" s="60"/>
      <c r="O9" s="60"/>
      <c r="P9" s="1287"/>
      <c r="Q9" s="1287"/>
      <c r="R9" s="206"/>
      <c r="S9" s="62"/>
      <c r="T9" s="168"/>
      <c r="U9" s="168"/>
      <c r="V9" s="188"/>
      <c r="W9" s="188"/>
      <c r="X9" s="188"/>
      <c r="Y9" s="189" t="str">
        <f>Z8&amp;"-"&amp;AB8</f>
        <v>-</v>
      </c>
      <c r="Z9" s="1289"/>
      <c r="AA9" s="1156"/>
      <c r="AB9" s="1289"/>
      <c r="AC9" s="1156"/>
      <c r="AD9" s="188"/>
      <c r="AE9" s="188"/>
      <c r="AF9" s="188"/>
      <c r="AG9" s="189" t="str">
        <f>AH8&amp;"-"&amp;AJ8</f>
        <v>-</v>
      </c>
      <c r="AH9" s="1289"/>
      <c r="AI9" s="1156"/>
      <c r="AJ9" s="1289"/>
      <c r="AK9" s="1156"/>
      <c r="AL9" s="188"/>
      <c r="AM9" s="1307"/>
      <c r="AO9" s="66"/>
      <c r="AP9" s="66" t="str">
        <f t="shared" si="0"/>
        <v/>
      </c>
      <c r="AQ9" s="66"/>
      <c r="AR9" s="66"/>
      <c r="AS9" s="10">
        <v>0</v>
      </c>
    </row>
    <row r="10" spans="1:45" ht="15" hidden="1" customHeight="1">
      <c r="A10" s="766"/>
      <c r="B10" s="766"/>
      <c r="C10" s="766"/>
      <c r="D10" s="766"/>
      <c r="E10" s="1284"/>
      <c r="F10" s="1284"/>
      <c r="G10" s="1284"/>
      <c r="H10" s="1284"/>
      <c r="I10" s="1286"/>
      <c r="J10" s="1285"/>
      <c r="K10" s="766"/>
      <c r="L10" s="767"/>
      <c r="M10" s="60"/>
      <c r="N10" s="60"/>
      <c r="P10" s="1287"/>
      <c r="Q10" s="1287"/>
      <c r="R10" s="205"/>
      <c r="S10" s="739"/>
      <c r="T10" s="164" t="s">
        <v>411</v>
      </c>
      <c r="U10" s="210"/>
      <c r="V10" s="210"/>
      <c r="W10" s="210"/>
      <c r="X10" s="210"/>
      <c r="Y10" s="210"/>
      <c r="Z10" s="210"/>
      <c r="AA10" s="210"/>
      <c r="AB10" s="210"/>
      <c r="AC10" s="210"/>
      <c r="AD10" s="210"/>
      <c r="AE10" s="210"/>
      <c r="AF10" s="210"/>
      <c r="AG10" s="210"/>
      <c r="AH10" s="210"/>
      <c r="AI10" s="210"/>
      <c r="AJ10" s="210"/>
      <c r="AK10" s="210"/>
      <c r="AL10" s="187"/>
      <c r="AM10" s="1308"/>
      <c r="AO10" s="66"/>
      <c r="AP10" s="66" t="str">
        <f t="shared" si="0"/>
        <v>Добавить вид теплоносителя (параметры теплоносителя)</v>
      </c>
      <c r="AQ10" s="66"/>
      <c r="AR10" s="66"/>
      <c r="AS10" s="10">
        <v>0</v>
      </c>
    </row>
    <row r="11" spans="1:45" ht="15" hidden="1" customHeight="1">
      <c r="A11" s="766"/>
      <c r="B11" s="766"/>
      <c r="C11" s="766"/>
      <c r="D11" s="766"/>
      <c r="E11" s="1284"/>
      <c r="F11" s="1284"/>
      <c r="G11" s="1284"/>
      <c r="H11" s="1284"/>
      <c r="I11" s="1285"/>
      <c r="J11" s="766"/>
      <c r="K11" s="766"/>
      <c r="L11" s="767"/>
      <c r="M11" s="60"/>
      <c r="P11" s="1287"/>
      <c r="Q11" s="119"/>
      <c r="R11" s="205"/>
      <c r="S11" s="739"/>
      <c r="T11" s="163" t="s">
        <v>412</v>
      </c>
      <c r="U11" s="210"/>
      <c r="V11" s="210"/>
      <c r="W11" s="210"/>
      <c r="X11" s="210"/>
      <c r="Y11" s="210"/>
      <c r="Z11" s="210"/>
      <c r="AA11" s="210"/>
      <c r="AB11" s="210"/>
      <c r="AC11" s="209"/>
      <c r="AD11" s="210"/>
      <c r="AE11" s="210"/>
      <c r="AF11" s="210"/>
      <c r="AG11" s="210"/>
      <c r="AH11" s="210"/>
      <c r="AI11" s="210"/>
      <c r="AJ11" s="210"/>
      <c r="AK11" s="209"/>
      <c r="AL11" s="210"/>
      <c r="AM11" s="171"/>
      <c r="AO11" s="66"/>
      <c r="AP11" s="66" t="str">
        <f t="shared" si="0"/>
        <v>Добавить группу потребителей</v>
      </c>
      <c r="AQ11" s="66"/>
      <c r="AR11" s="66"/>
      <c r="AS11" s="10">
        <v>0</v>
      </c>
    </row>
    <row r="12" spans="1:45" ht="14.25" hidden="1" customHeight="1">
      <c r="A12" s="766"/>
      <c r="B12" s="766"/>
      <c r="C12" s="766"/>
      <c r="D12" s="766"/>
      <c r="E12" s="1284"/>
      <c r="F12" s="1284"/>
      <c r="G12" s="1284"/>
      <c r="H12" s="1283"/>
      <c r="I12" s="766"/>
      <c r="J12" s="766"/>
      <c r="K12" s="766"/>
      <c r="L12" s="767"/>
      <c r="M12" s="423"/>
      <c r="N12" s="423"/>
      <c r="O12" s="60"/>
      <c r="P12" s="33"/>
      <c r="Q12" s="213"/>
      <c r="R12" s="204"/>
      <c r="S12" s="739"/>
      <c r="T12" s="208" t="s">
        <v>413</v>
      </c>
      <c r="U12" s="210"/>
      <c r="V12" s="210"/>
      <c r="W12" s="210"/>
      <c r="X12" s="210"/>
      <c r="Y12" s="210"/>
      <c r="Z12" s="210"/>
      <c r="AA12" s="210"/>
      <c r="AB12" s="210"/>
      <c r="AC12" s="209"/>
      <c r="AD12" s="210"/>
      <c r="AE12" s="210"/>
      <c r="AF12" s="210"/>
      <c r="AG12" s="210"/>
      <c r="AH12" s="210"/>
      <c r="AI12" s="210"/>
      <c r="AJ12" s="210"/>
      <c r="AK12" s="209"/>
      <c r="AL12" s="210"/>
      <c r="AM12" s="171"/>
      <c r="AO12" s="66"/>
      <c r="AP12" s="66" t="str">
        <f t="shared" si="0"/>
        <v>Добавить схему подключения</v>
      </c>
      <c r="AQ12" s="66"/>
      <c r="AR12" s="66"/>
      <c r="AS12" s="10">
        <v>0</v>
      </c>
    </row>
    <row r="13" spans="1:45" s="65" customFormat="1" ht="0.75" hidden="1" customHeight="1">
      <c r="A13" s="142"/>
      <c r="B13" s="142"/>
      <c r="C13" s="142"/>
      <c r="D13" s="142"/>
      <c r="E13" s="1284"/>
      <c r="F13" s="1284"/>
      <c r="G13" s="1283"/>
      <c r="H13" s="142"/>
      <c r="I13" s="142"/>
      <c r="J13" s="142"/>
      <c r="K13" s="142"/>
      <c r="L13" s="343"/>
      <c r="M13" s="290"/>
      <c r="N13" s="290"/>
      <c r="P13" s="101"/>
      <c r="Q13" s="752"/>
      <c r="R13" s="101"/>
      <c r="S13" s="753"/>
      <c r="T13" s="754" t="s">
        <v>414</v>
      </c>
      <c r="U13" s="755"/>
      <c r="V13" s="755"/>
      <c r="W13" s="755"/>
      <c r="X13" s="755"/>
      <c r="Y13" s="755"/>
      <c r="Z13" s="755"/>
      <c r="AA13" s="755"/>
      <c r="AB13" s="755"/>
      <c r="AC13" s="755"/>
      <c r="AD13" s="755"/>
      <c r="AE13" s="755"/>
      <c r="AF13" s="755"/>
      <c r="AG13" s="755"/>
      <c r="AH13" s="755"/>
      <c r="AI13" s="755"/>
      <c r="AJ13" s="755"/>
      <c r="AK13" s="755"/>
      <c r="AL13" s="755"/>
      <c r="AM13" s="755"/>
      <c r="AO13" s="66"/>
      <c r="AP13" s="66" t="str">
        <f t="shared" si="0"/>
        <v>Добавить источник для дифференциации</v>
      </c>
      <c r="AQ13" s="66"/>
      <c r="AR13" s="66"/>
      <c r="AS13" s="65">
        <v>0</v>
      </c>
    </row>
    <row r="14" spans="1:45" s="65" customFormat="1" ht="0.75" hidden="1" customHeight="1">
      <c r="A14" s="142"/>
      <c r="B14" s="142"/>
      <c r="C14" s="142"/>
      <c r="D14" s="142"/>
      <c r="E14" s="1284"/>
      <c r="F14" s="1283"/>
      <c r="G14" s="142"/>
      <c r="H14" s="142"/>
      <c r="I14" s="142"/>
      <c r="J14" s="142"/>
      <c r="K14" s="142"/>
      <c r="L14" s="343"/>
      <c r="M14" s="756"/>
      <c r="N14" s="756"/>
      <c r="P14" s="101"/>
      <c r="Q14" s="752"/>
      <c r="R14" s="101"/>
      <c r="S14" s="757"/>
      <c r="T14" s="758" t="s">
        <v>231</v>
      </c>
      <c r="U14" s="310"/>
      <c r="V14" s="310"/>
      <c r="W14" s="310"/>
      <c r="X14" s="310"/>
      <c r="Y14" s="310"/>
      <c r="Z14" s="310"/>
      <c r="AA14" s="310"/>
      <c r="AB14" s="310"/>
      <c r="AC14" s="310"/>
      <c r="AD14" s="310"/>
      <c r="AE14" s="310"/>
      <c r="AF14" s="310"/>
      <c r="AG14" s="310"/>
      <c r="AH14" s="310"/>
      <c r="AI14" s="310"/>
      <c r="AJ14" s="310"/>
      <c r="AK14" s="310"/>
      <c r="AL14" s="310"/>
      <c r="AM14" s="310"/>
      <c r="AO14" s="66"/>
      <c r="AP14" s="66" t="str">
        <f t="shared" si="0"/>
        <v>Добавить централизованную систему для дифференциации</v>
      </c>
      <c r="AQ14" s="66"/>
      <c r="AR14" s="66"/>
      <c r="AS14" s="65">
        <v>0</v>
      </c>
    </row>
    <row r="15" spans="1:45" s="65" customFormat="1" ht="0.75" hidden="1" customHeight="1">
      <c r="A15" s="142"/>
      <c r="B15" s="142"/>
      <c r="C15" s="142"/>
      <c r="D15" s="142"/>
      <c r="E15" s="1283"/>
      <c r="F15" s="142"/>
      <c r="G15" s="142"/>
      <c r="H15" s="142"/>
      <c r="I15" s="142"/>
      <c r="J15" s="142"/>
      <c r="K15" s="142"/>
      <c r="L15" s="343"/>
      <c r="M15" s="756"/>
      <c r="N15" s="756"/>
      <c r="P15" s="101"/>
      <c r="Q15" s="752"/>
      <c r="R15" s="101"/>
      <c r="S15" s="757"/>
      <c r="T15" s="759" t="s">
        <v>232</v>
      </c>
      <c r="U15" s="310"/>
      <c r="V15" s="310"/>
      <c r="W15" s="310"/>
      <c r="X15" s="310"/>
      <c r="Y15" s="310"/>
      <c r="Z15" s="310"/>
      <c r="AA15" s="310"/>
      <c r="AB15" s="310"/>
      <c r="AC15" s="310"/>
      <c r="AD15" s="310"/>
      <c r="AE15" s="310"/>
      <c r="AF15" s="310"/>
      <c r="AG15" s="310"/>
      <c r="AH15" s="310"/>
      <c r="AI15" s="310"/>
      <c r="AJ15" s="310"/>
      <c r="AK15" s="310"/>
      <c r="AL15" s="310"/>
      <c r="AM15" s="310"/>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5"/>
      <c r="AE17" s="365"/>
      <c r="AF17" s="365"/>
      <c r="AG17" s="765"/>
      <c r="AH17" s="1281"/>
      <c r="AI17" s="1280" t="s">
        <v>64</v>
      </c>
      <c r="AJ17" s="1281"/>
      <c r="AK17" s="1280" t="s">
        <v>64</v>
      </c>
      <c r="AS17" s="10">
        <v>0</v>
      </c>
    </row>
    <row r="18" spans="1:45" ht="14.25" hidden="1" customHeight="1">
      <c r="AD18" s="365"/>
      <c r="AE18" s="365"/>
      <c r="AF18" s="365"/>
      <c r="AG18" s="189" t="str">
        <f>AH17&amp;"-"&amp;AJ17</f>
        <v>-</v>
      </c>
      <c r="AH18" s="1280"/>
      <c r="AI18" s="1280"/>
      <c r="AJ18" s="1280"/>
      <c r="AK18" s="1280"/>
      <c r="AS18" s="10">
        <v>0</v>
      </c>
    </row>
    <row r="19" spans="1:45" ht="14.25" hidden="1" customHeight="1">
      <c r="AS19" s="10">
        <v>0</v>
      </c>
    </row>
    <row r="20" spans="1:45" s="60" customFormat="1" ht="22.5" hidden="1" customHeight="1">
      <c r="L20" s="298"/>
      <c r="M20" s="503"/>
      <c r="N20" s="503"/>
      <c r="O20" s="768" t="s">
        <v>415</v>
      </c>
      <c r="P20" s="503"/>
      <c r="Q20" s="769"/>
      <c r="R20" s="769"/>
      <c r="S20" s="423"/>
      <c r="Z20" s="768"/>
      <c r="AB20" s="768"/>
      <c r="AH20" s="768"/>
      <c r="AJ20" s="768"/>
      <c r="AN20" s="65"/>
      <c r="AO20" s="65"/>
      <c r="AP20" s="65"/>
      <c r="AQ20" s="65"/>
      <c r="AR20" s="65"/>
      <c r="AS20" s="60">
        <v>0</v>
      </c>
    </row>
    <row r="21" spans="1:45" s="60" customFormat="1" ht="14.25" hidden="1" customHeight="1">
      <c r="L21" s="298"/>
      <c r="M21" s="503"/>
      <c r="N21" s="503"/>
      <c r="O21" s="503"/>
      <c r="P21" s="503"/>
      <c r="Q21" s="769"/>
      <c r="R21" s="769"/>
      <c r="S21" s="423"/>
      <c r="AN21" s="65"/>
      <c r="AO21" s="65"/>
      <c r="AP21" s="65"/>
      <c r="AQ21" s="65"/>
      <c r="AR21" s="65"/>
      <c r="AS21" s="60">
        <v>0</v>
      </c>
    </row>
    <row r="22" spans="1:45" s="60" customFormat="1" ht="14.25" hidden="1" customHeight="1">
      <c r="L22" s="298"/>
      <c r="M22" s="503"/>
      <c r="N22" s="503"/>
      <c r="O22" s="767" t="s">
        <v>416</v>
      </c>
      <c r="P22" s="503"/>
      <c r="Q22" s="769"/>
      <c r="R22" s="769"/>
      <c r="S22" s="423"/>
      <c r="T22" s="60" t="s">
        <v>417</v>
      </c>
      <c r="AA22" s="79" t="s">
        <v>418</v>
      </c>
      <c r="AC22" s="79" t="s">
        <v>419</v>
      </c>
      <c r="AD22" s="60" t="s">
        <v>417</v>
      </c>
      <c r="AI22" s="79" t="s">
        <v>420</v>
      </c>
      <c r="AK22" s="79" t="s">
        <v>419</v>
      </c>
      <c r="AN22" s="65"/>
      <c r="AO22" s="65"/>
      <c r="AP22" s="65"/>
      <c r="AQ22" s="65"/>
      <c r="AR22" s="65"/>
      <c r="AS22" s="60">
        <v>0</v>
      </c>
    </row>
    <row r="23" spans="1:45" ht="14.25" hidden="1" customHeight="1">
      <c r="O23" s="767"/>
      <c r="AS23" s="10">
        <v>0</v>
      </c>
    </row>
    <row r="24" spans="1:45" ht="14.25" hidden="1" customHeight="1">
      <c r="O24" s="767"/>
      <c r="AS24" s="10">
        <v>0</v>
      </c>
    </row>
    <row r="25" spans="1:45" ht="14.65" customHeight="1">
      <c r="Q25" s="27"/>
      <c r="R25" s="27"/>
      <c r="S25" s="736"/>
      <c r="T25" s="9"/>
      <c r="U25" s="9"/>
      <c r="AS25" s="10">
        <v>14</v>
      </c>
    </row>
    <row r="26" spans="1:45" ht="14.65" customHeight="1">
      <c r="Q26" s="27"/>
      <c r="R26" s="27"/>
      <c r="S26" s="1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4"/>
      <c r="U26" s="1264"/>
      <c r="V26" s="1264"/>
      <c r="W26" s="1264"/>
      <c r="X26" s="1264"/>
      <c r="Y26" s="1264"/>
      <c r="Z26" s="1264"/>
      <c r="AA26" s="1264"/>
      <c r="AB26" s="1264"/>
      <c r="AC26" s="1264"/>
      <c r="AD26" s="1264"/>
      <c r="AE26" s="1264"/>
      <c r="AF26" s="1264"/>
      <c r="AG26" s="1264"/>
      <c r="AH26" s="1264"/>
      <c r="AI26" s="1264"/>
      <c r="AJ26" s="1264"/>
      <c r="AK26" s="57"/>
      <c r="AS26" s="10">
        <v>14</v>
      </c>
    </row>
    <row r="27" spans="1:45" ht="14.65" customHeight="1">
      <c r="Q27" s="27"/>
      <c r="R27" s="27"/>
      <c r="S27" s="1236" t="str">
        <f>IF(org=0,"Не определено",org)</f>
        <v>Общество с ограниченной ответственностью "Березовский рудник"</v>
      </c>
      <c r="T27" s="1236"/>
      <c r="U27" s="1236"/>
      <c r="V27" s="1236"/>
      <c r="W27" s="1236"/>
      <c r="X27" s="1236"/>
      <c r="Y27" s="1236"/>
      <c r="Z27" s="1236"/>
      <c r="AA27" s="1236"/>
      <c r="AB27" s="1236"/>
      <c r="AC27" s="1236"/>
      <c r="AD27" s="1236"/>
      <c r="AE27" s="1236"/>
      <c r="AF27" s="1236"/>
      <c r="AG27" s="1236"/>
      <c r="AH27" s="1236"/>
      <c r="AI27" s="1236"/>
      <c r="AJ27" s="1236"/>
      <c r="AK27" s="57"/>
      <c r="AS27" s="10">
        <v>14</v>
      </c>
    </row>
    <row r="28" spans="1:45" ht="14.25" hidden="1" customHeight="1">
      <c r="Q28" s="27"/>
      <c r="R28" s="27"/>
      <c r="S28" s="736"/>
      <c r="T28" s="9"/>
      <c r="U28" s="9"/>
      <c r="V28" s="186"/>
      <c r="W28" s="186"/>
      <c r="X28" s="186"/>
      <c r="Y28" s="186"/>
      <c r="Z28" s="186"/>
      <c r="AA28" s="186"/>
      <c r="AB28" s="186"/>
      <c r="AC28" s="186"/>
      <c r="AD28" s="186"/>
      <c r="AE28" s="186"/>
      <c r="AF28" s="186"/>
      <c r="AG28" s="186"/>
      <c r="AH28" s="186"/>
      <c r="AI28" s="186"/>
      <c r="AJ28" s="186"/>
      <c r="AK28" s="186"/>
      <c r="AS28" s="10">
        <v>0</v>
      </c>
    </row>
    <row r="29" spans="1:45" s="34" customFormat="1" ht="25.5" hidden="1" customHeight="1">
      <c r="A29" s="79"/>
      <c r="B29" s="79"/>
      <c r="C29" s="79"/>
      <c r="D29" s="79"/>
      <c r="E29" s="79"/>
      <c r="F29" s="79"/>
      <c r="G29" s="79"/>
      <c r="H29" s="79"/>
      <c r="I29" s="79"/>
      <c r="J29" s="79"/>
      <c r="K29" s="79"/>
      <c r="L29" s="767"/>
      <c r="M29" s="79"/>
      <c r="N29" s="79"/>
      <c r="O29" s="79"/>
      <c r="S29" s="1274" t="s">
        <v>41</v>
      </c>
      <c r="T29" s="1274"/>
      <c r="U29" s="770"/>
      <c r="V29" s="1276" t="str">
        <f>IF(TITLE_NAME_OR_PR_CHANGE="",IF(TITLE_NAME_OR_PR="","",TITLE_NAME_OR_PR),TITLE_NAME_OR_PR_CHANGE)</f>
        <v/>
      </c>
      <c r="W29" s="1276"/>
      <c r="X29" s="1276"/>
      <c r="Y29" s="1276"/>
      <c r="Z29" s="1276"/>
      <c r="AA29" s="1276"/>
      <c r="AB29" s="1276"/>
      <c r="AC29" s="10"/>
      <c r="AD29" s="1276" t="str">
        <f>IF(TITLE_NAME_OR_PR_CHANGE="",IF(TITLE_NAME_OR_PR="","",TITLE_NAME_OR_PR),TITLE_NAME_OR_PR_CHANGE)</f>
        <v/>
      </c>
      <c r="AE29" s="1276"/>
      <c r="AF29" s="1276"/>
      <c r="AG29" s="1276"/>
      <c r="AH29" s="1276"/>
      <c r="AI29" s="1276"/>
      <c r="AJ29" s="1276"/>
      <c r="AK29" s="10"/>
      <c r="AL29" s="10"/>
      <c r="AM29" s="160"/>
      <c r="AN29" s="66"/>
      <c r="AO29" s="66"/>
      <c r="AP29" s="66"/>
      <c r="AQ29" s="66"/>
      <c r="AR29" s="66"/>
      <c r="AS29" s="34">
        <v>0</v>
      </c>
    </row>
    <row r="30" spans="1:45" s="34" customFormat="1" ht="18.75" hidden="1" customHeight="1">
      <c r="A30" s="79"/>
      <c r="B30" s="79"/>
      <c r="C30" s="79"/>
      <c r="D30" s="79"/>
      <c r="E30" s="79"/>
      <c r="F30" s="79"/>
      <c r="G30" s="79"/>
      <c r="H30" s="79"/>
      <c r="I30" s="79"/>
      <c r="J30" s="79"/>
      <c r="K30" s="79"/>
      <c r="L30" s="767"/>
      <c r="M30" s="79"/>
      <c r="N30" s="79"/>
      <c r="O30" s="79"/>
      <c r="S30" s="1274" t="s">
        <v>421</v>
      </c>
      <c r="T30" s="1274"/>
      <c r="U30" s="770"/>
      <c r="V30" s="1275">
        <f>IF(TITLE_DATE_PR_CHANGE="",IF(TITLE_DATE_PR="","",TITLE_DATE_PR),TITLE_DATE_PR_CHANGE)</f>
        <v>45805</v>
      </c>
      <c r="W30" s="1275"/>
      <c r="X30" s="1275"/>
      <c r="Y30" s="1275"/>
      <c r="Z30" s="1275"/>
      <c r="AA30" s="1275"/>
      <c r="AB30" s="1275"/>
      <c r="AC30" s="10"/>
      <c r="AD30" s="1275">
        <f>IF(TITLE_DATE_PR_CHANGE="",IF(TITLE_DATE_PR="","",TITLE_DATE_PR),TITLE_DATE_PR_CHANGE)</f>
        <v>45805</v>
      </c>
      <c r="AE30" s="1275"/>
      <c r="AF30" s="1275"/>
      <c r="AG30" s="1275"/>
      <c r="AH30" s="1275"/>
      <c r="AI30" s="1275"/>
      <c r="AJ30" s="1275"/>
      <c r="AK30" s="10"/>
      <c r="AL30" s="10"/>
      <c r="AM30" s="160"/>
      <c r="AN30" s="66"/>
      <c r="AO30" s="66"/>
      <c r="AP30" s="66"/>
      <c r="AQ30" s="66"/>
      <c r="AR30" s="66"/>
      <c r="AS30" s="34">
        <v>0</v>
      </c>
    </row>
    <row r="31" spans="1:45" s="34" customFormat="1" ht="18.75" hidden="1" customHeight="1">
      <c r="A31" s="79"/>
      <c r="B31" s="79"/>
      <c r="C31" s="79"/>
      <c r="D31" s="79"/>
      <c r="E31" s="79"/>
      <c r="F31" s="79"/>
      <c r="G31" s="79"/>
      <c r="H31" s="79"/>
      <c r="I31" s="79"/>
      <c r="J31" s="79"/>
      <c r="K31" s="79"/>
      <c r="L31" s="767"/>
      <c r="M31" s="79"/>
      <c r="N31" s="79"/>
      <c r="O31" s="79"/>
      <c r="S31" s="1274" t="s">
        <v>422</v>
      </c>
      <c r="T31" s="1274"/>
      <c r="U31" s="770"/>
      <c r="V31" s="1276" t="str">
        <f>IF(TITLE_NUMBER_PR_CHANGE="",IF(TITLE_NUMBER_PR="","",TITLE_NUMBER_PR),TITLE_NUMBER_PR_CHANGE)</f>
        <v>2496</v>
      </c>
      <c r="W31" s="1276"/>
      <c r="X31" s="1276"/>
      <c r="Y31" s="1276"/>
      <c r="Z31" s="1276"/>
      <c r="AA31" s="1276"/>
      <c r="AB31" s="1276"/>
      <c r="AC31" s="10"/>
      <c r="AD31" s="1276" t="str">
        <f>IF(TITLE_NUMBER_PR_CHANGE="",IF(TITLE_NUMBER_PR="","",TITLE_NUMBER_PR),TITLE_NUMBER_PR_CHANGE)</f>
        <v>2496</v>
      </c>
      <c r="AE31" s="1276"/>
      <c r="AF31" s="1276"/>
      <c r="AG31" s="1276"/>
      <c r="AH31" s="1276"/>
      <c r="AI31" s="1276"/>
      <c r="AJ31" s="1276"/>
      <c r="AK31" s="10"/>
      <c r="AL31" s="10"/>
      <c r="AM31" s="160"/>
      <c r="AN31" s="66"/>
      <c r="AO31" s="66"/>
      <c r="AP31" s="66"/>
      <c r="AQ31" s="66"/>
      <c r="AR31" s="66"/>
      <c r="AS31" s="34">
        <v>0</v>
      </c>
    </row>
    <row r="32" spans="1:45" s="34" customFormat="1" ht="18.75" hidden="1" customHeight="1">
      <c r="A32" s="79"/>
      <c r="B32" s="79"/>
      <c r="C32" s="79"/>
      <c r="D32" s="79"/>
      <c r="E32" s="79"/>
      <c r="F32" s="79"/>
      <c r="G32" s="79"/>
      <c r="H32" s="79"/>
      <c r="I32" s="79"/>
      <c r="J32" s="79"/>
      <c r="K32" s="79"/>
      <c r="L32" s="767"/>
      <c r="M32" s="79"/>
      <c r="N32" s="79"/>
      <c r="O32" s="79"/>
      <c r="S32" s="1274" t="s">
        <v>42</v>
      </c>
      <c r="T32" s="1274"/>
      <c r="U32" s="770"/>
      <c r="V32" s="1276" t="str">
        <f>IF(TITLE_IST_PUB_CHANGE="",IF(TITLE_IST_PUB="","",TITLE_IST_PUB),TITLE_IST_PUB_CHANGE)</f>
        <v/>
      </c>
      <c r="W32" s="1276"/>
      <c r="X32" s="1276"/>
      <c r="Y32" s="1276"/>
      <c r="Z32" s="1276"/>
      <c r="AA32" s="1276"/>
      <c r="AB32" s="1276"/>
      <c r="AC32" s="10"/>
      <c r="AD32" s="1276" t="str">
        <f>IF(TITLE_IST_PUB_CHANGE="",IF(TITLE_IST_PUB="","",TITLE_IST_PUB),TITLE_IST_PUB_CHANGE)</f>
        <v/>
      </c>
      <c r="AE32" s="1276"/>
      <c r="AF32" s="1276"/>
      <c r="AG32" s="1276"/>
      <c r="AH32" s="1276"/>
      <c r="AI32" s="1276"/>
      <c r="AJ32" s="1276"/>
      <c r="AK32" s="10"/>
      <c r="AL32" s="10"/>
      <c r="AM32" s="160"/>
      <c r="AN32" s="66"/>
      <c r="AO32" s="66"/>
      <c r="AP32" s="66"/>
      <c r="AQ32" s="66"/>
      <c r="AR32" s="66"/>
      <c r="AS32" s="34">
        <v>0</v>
      </c>
    </row>
    <row r="33" spans="1:45" ht="14.25" customHeight="1">
      <c r="Q33" s="27"/>
      <c r="R33" s="27"/>
      <c r="S33" s="736"/>
      <c r="T33" s="9"/>
      <c r="U33" s="9"/>
      <c r="V33" s="186"/>
      <c r="W33" s="186"/>
      <c r="X33" s="186"/>
      <c r="Y33" s="186"/>
      <c r="Z33" s="186"/>
      <c r="AA33" s="186"/>
      <c r="AB33" s="186"/>
      <c r="AC33" s="186"/>
      <c r="AD33" s="186"/>
      <c r="AE33" s="186"/>
      <c r="AF33" s="186"/>
      <c r="AG33" s="186"/>
      <c r="AH33" s="186"/>
      <c r="AI33" s="186"/>
      <c r="AJ33" s="186"/>
      <c r="AK33" s="186"/>
      <c r="AS33" s="10">
        <v>0</v>
      </c>
    </row>
    <row r="34" spans="1:45" s="34" customFormat="1" ht="18.75" customHeight="1">
      <c r="A34" s="79"/>
      <c r="B34" s="79"/>
      <c r="C34" s="79"/>
      <c r="D34" s="79"/>
      <c r="E34" s="79"/>
      <c r="F34" s="79"/>
      <c r="G34" s="79"/>
      <c r="H34" s="79"/>
      <c r="I34" s="79"/>
      <c r="J34" s="79"/>
      <c r="K34" s="79"/>
      <c r="L34" s="767"/>
      <c r="M34" s="79"/>
      <c r="N34" s="79"/>
      <c r="O34" s="79"/>
      <c r="S34" s="1274" t="s">
        <v>423</v>
      </c>
      <c r="T34" s="1274"/>
      <c r="U34" s="770"/>
      <c r="V34" s="1275">
        <f>IF(TITLE_DATE_PR_CHANGE="",IF(TITLE_DATE_PR="","",TITLE_DATE_PR),TITLE_DATE_PR_CHANGE)</f>
        <v>45805</v>
      </c>
      <c r="W34" s="1275"/>
      <c r="X34" s="1275"/>
      <c r="Y34" s="1275"/>
      <c r="Z34" s="1275"/>
      <c r="AA34" s="1275"/>
      <c r="AB34" s="1275"/>
      <c r="AC34" s="10"/>
      <c r="AD34" s="1275">
        <f>IF(TITLE_DATE_PR_CHANGE="",IF(TITLE_DATE_PR="","",TITLE_DATE_PR),TITLE_DATE_PR_CHANGE)</f>
        <v>45805</v>
      </c>
      <c r="AE34" s="1275"/>
      <c r="AF34" s="1275"/>
      <c r="AG34" s="1275"/>
      <c r="AH34" s="1275"/>
      <c r="AI34" s="1275"/>
      <c r="AJ34" s="1275"/>
      <c r="AK34" s="10"/>
      <c r="AL34" s="10"/>
      <c r="AM34" s="160"/>
      <c r="AN34" s="66"/>
      <c r="AO34" s="66"/>
      <c r="AP34" s="66"/>
      <c r="AQ34" s="66"/>
      <c r="AR34" s="66"/>
      <c r="AS34" s="34">
        <v>0</v>
      </c>
    </row>
    <row r="35" spans="1:45" s="34" customFormat="1" ht="18.75" customHeight="1">
      <c r="A35" s="79"/>
      <c r="B35" s="79"/>
      <c r="C35" s="79"/>
      <c r="D35" s="79"/>
      <c r="E35" s="79"/>
      <c r="F35" s="79"/>
      <c r="G35" s="79"/>
      <c r="H35" s="79"/>
      <c r="I35" s="79"/>
      <c r="J35" s="79"/>
      <c r="K35" s="79"/>
      <c r="L35" s="767"/>
      <c r="M35" s="79"/>
      <c r="N35" s="79"/>
      <c r="O35" s="79"/>
      <c r="S35" s="1274" t="s">
        <v>424</v>
      </c>
      <c r="T35" s="1274"/>
      <c r="U35" s="770"/>
      <c r="V35" s="1276" t="str">
        <f>IF(TITLE_NUMBER_PR_CHANGE="",IF(TITLE_NUMBER_PR="","",TITLE_NUMBER_PR),TITLE_NUMBER_PR_CHANGE)</f>
        <v>2496</v>
      </c>
      <c r="W35" s="1276"/>
      <c r="X35" s="1276"/>
      <c r="Y35" s="1276"/>
      <c r="Z35" s="1276"/>
      <c r="AA35" s="1276"/>
      <c r="AB35" s="1276"/>
      <c r="AC35" s="10"/>
      <c r="AD35" s="1276" t="str">
        <f>IF(TITLE_NUMBER_PR_CHANGE="",IF(TITLE_NUMBER_PR="","",TITLE_NUMBER_PR),TITLE_NUMBER_PR_CHANGE)</f>
        <v>2496</v>
      </c>
      <c r="AE35" s="1276"/>
      <c r="AF35" s="1276"/>
      <c r="AG35" s="1276"/>
      <c r="AH35" s="1276"/>
      <c r="AI35" s="1276"/>
      <c r="AJ35" s="1276"/>
      <c r="AK35" s="10"/>
      <c r="AL35" s="10"/>
      <c r="AM35" s="160"/>
      <c r="AN35" s="66"/>
      <c r="AO35" s="66"/>
      <c r="AP35" s="66"/>
      <c r="AQ35" s="66"/>
      <c r="AR35" s="66"/>
      <c r="AS35" s="34">
        <v>0</v>
      </c>
    </row>
    <row r="36" spans="1:45" s="34" customFormat="1" ht="0" hidden="1" customHeight="1">
      <c r="A36" s="79"/>
      <c r="B36" s="79"/>
      <c r="C36" s="79"/>
      <c r="D36" s="79"/>
      <c r="E36" s="79"/>
      <c r="F36" s="79"/>
      <c r="G36" s="79"/>
      <c r="H36" s="79"/>
      <c r="I36" s="79"/>
      <c r="J36" s="79"/>
      <c r="K36" s="79"/>
      <c r="L36" s="767"/>
      <c r="M36" s="79"/>
      <c r="N36" s="79"/>
      <c r="O36" s="79"/>
      <c r="S36" s="10"/>
      <c r="T36" s="10"/>
      <c r="U36" s="75"/>
      <c r="V36" s="10"/>
      <c r="W36" s="10"/>
      <c r="X36" s="10"/>
      <c r="Y36" s="10"/>
      <c r="Z36" s="10"/>
      <c r="AA36" s="10"/>
      <c r="AB36" s="10"/>
      <c r="AC36" s="65" t="s">
        <v>425</v>
      </c>
      <c r="AD36" s="10"/>
      <c r="AE36" s="10"/>
      <c r="AF36" s="10"/>
      <c r="AG36" s="10"/>
      <c r="AH36" s="10"/>
      <c r="AI36" s="10"/>
      <c r="AJ36" s="10"/>
      <c r="AK36" s="65" t="s">
        <v>425</v>
      </c>
      <c r="AN36" s="66"/>
      <c r="AO36" s="66"/>
      <c r="AP36" s="66"/>
      <c r="AQ36" s="66"/>
      <c r="AR36" s="66"/>
      <c r="AS36" s="34">
        <v>0</v>
      </c>
    </row>
    <row r="37" spans="1:45" ht="14.65" customHeight="1">
      <c r="Q37" s="27"/>
      <c r="R37" s="27"/>
      <c r="S37" s="736"/>
      <c r="T37" s="9"/>
      <c r="U37" s="717"/>
      <c r="V37" s="1295"/>
      <c r="W37" s="1295"/>
      <c r="X37" s="1295"/>
      <c r="Y37" s="1295"/>
      <c r="Z37" s="1295"/>
      <c r="AA37" s="1295"/>
      <c r="AB37" s="1295"/>
      <c r="AC37" s="1295"/>
      <c r="AD37" s="1295"/>
      <c r="AE37" s="1295"/>
      <c r="AF37" s="1295"/>
      <c r="AG37" s="1295"/>
      <c r="AH37" s="1295"/>
      <c r="AI37" s="1295"/>
      <c r="AJ37" s="1295"/>
      <c r="AK37" s="1295"/>
      <c r="AS37" s="10">
        <v>14</v>
      </c>
    </row>
    <row r="38" spans="1:45" ht="14.65" customHeight="1">
      <c r="Q38" s="27"/>
      <c r="R38" s="27"/>
      <c r="S38" s="1146" t="s">
        <v>300</v>
      </c>
      <c r="T38" s="1146"/>
      <c r="U38" s="1146"/>
      <c r="V38" s="1146"/>
      <c r="W38" s="1146"/>
      <c r="X38" s="1146"/>
      <c r="Y38" s="1146"/>
      <c r="Z38" s="1146"/>
      <c r="AA38" s="1146"/>
      <c r="AB38" s="1146"/>
      <c r="AC38" s="1146"/>
      <c r="AD38" s="1146"/>
      <c r="AE38" s="1146"/>
      <c r="AF38" s="1146"/>
      <c r="AG38" s="1146"/>
      <c r="AH38" s="1146"/>
      <c r="AI38" s="1146"/>
      <c r="AJ38" s="1146"/>
      <c r="AK38" s="1146"/>
      <c r="AL38" s="1146"/>
      <c r="AM38" s="1146" t="s">
        <v>301</v>
      </c>
      <c r="AS38" s="10">
        <v>14</v>
      </c>
    </row>
    <row r="39" spans="1:45" ht="14.65" customHeight="1">
      <c r="Q39" s="27"/>
      <c r="R39" s="27"/>
      <c r="S39" s="1296" t="s">
        <v>86</v>
      </c>
      <c r="T39" s="1244" t="s">
        <v>426</v>
      </c>
      <c r="U39" s="169"/>
      <c r="V39" s="1297" t="s">
        <v>427</v>
      </c>
      <c r="W39" s="1298"/>
      <c r="X39" s="1298"/>
      <c r="Y39" s="1298"/>
      <c r="Z39" s="1298"/>
      <c r="AA39" s="1298"/>
      <c r="AB39" s="1299"/>
      <c r="AC39" s="1300" t="s">
        <v>428</v>
      </c>
      <c r="AD39" s="1297" t="s">
        <v>427</v>
      </c>
      <c r="AE39" s="1298"/>
      <c r="AF39" s="1298"/>
      <c r="AG39" s="1298"/>
      <c r="AH39" s="1298"/>
      <c r="AI39" s="1298"/>
      <c r="AJ39" s="1299"/>
      <c r="AK39" s="1300" t="s">
        <v>429</v>
      </c>
      <c r="AL39" s="1303" t="s">
        <v>430</v>
      </c>
      <c r="AM39" s="1146"/>
      <c r="AS39" s="10">
        <v>14</v>
      </c>
    </row>
    <row r="40" spans="1:45" ht="35.65" customHeight="1">
      <c r="Q40" s="27"/>
      <c r="R40" s="27"/>
      <c r="S40" s="1296"/>
      <c r="T40" s="1244"/>
      <c r="U40" s="604"/>
      <c r="V40" s="1216" t="s">
        <v>431</v>
      </c>
      <c r="W40" s="1292" t="s">
        <v>432</v>
      </c>
      <c r="X40" s="1128" t="s">
        <v>433</v>
      </c>
      <c r="Y40" s="1127"/>
      <c r="Z40" s="1128" t="s">
        <v>446</v>
      </c>
      <c r="AA40" s="1133"/>
      <c r="AB40" s="1127"/>
      <c r="AC40" s="1301"/>
      <c r="AD40" s="1216" t="s">
        <v>431</v>
      </c>
      <c r="AE40" s="1292" t="s">
        <v>432</v>
      </c>
      <c r="AF40" s="1128" t="s">
        <v>433</v>
      </c>
      <c r="AG40" s="1127"/>
      <c r="AH40" s="1128" t="s">
        <v>434</v>
      </c>
      <c r="AI40" s="1133"/>
      <c r="AJ40" s="1127"/>
      <c r="AK40" s="1301"/>
      <c r="AL40" s="1304"/>
      <c r="AM40" s="1146"/>
      <c r="AS40" s="10">
        <v>34</v>
      </c>
    </row>
    <row r="41" spans="1:45" ht="35.65" customHeight="1">
      <c r="A41" s="79"/>
      <c r="B41" s="79" t="s">
        <v>133</v>
      </c>
      <c r="C41" s="79" t="s">
        <v>134</v>
      </c>
      <c r="D41" s="79" t="s">
        <v>135</v>
      </c>
      <c r="E41" s="767" t="s">
        <v>435</v>
      </c>
      <c r="F41" s="767" t="s">
        <v>436</v>
      </c>
      <c r="G41" s="767" t="s">
        <v>437</v>
      </c>
      <c r="H41" s="767" t="s">
        <v>438</v>
      </c>
      <c r="I41" s="767" t="s">
        <v>439</v>
      </c>
      <c r="J41" s="767" t="s">
        <v>440</v>
      </c>
      <c r="K41" s="767" t="s">
        <v>441</v>
      </c>
      <c r="L41" s="767" t="s">
        <v>416</v>
      </c>
      <c r="Q41" s="27"/>
      <c r="R41" s="27"/>
      <c r="S41" s="1296"/>
      <c r="T41" s="1244"/>
      <c r="U41" s="170"/>
      <c r="V41" s="1269"/>
      <c r="W41" s="1293"/>
      <c r="X41" s="38" t="s">
        <v>442</v>
      </c>
      <c r="Y41" s="38" t="s">
        <v>443</v>
      </c>
      <c r="Z41" s="38" t="s">
        <v>444</v>
      </c>
      <c r="AA41" s="1249" t="s">
        <v>445</v>
      </c>
      <c r="AB41" s="1263"/>
      <c r="AC41" s="1302"/>
      <c r="AD41" s="1269"/>
      <c r="AE41" s="1293"/>
      <c r="AF41" s="38" t="s">
        <v>442</v>
      </c>
      <c r="AG41" s="38" t="s">
        <v>443</v>
      </c>
      <c r="AH41" s="38" t="s">
        <v>444</v>
      </c>
      <c r="AI41" s="1249" t="s">
        <v>445</v>
      </c>
      <c r="AJ41" s="1263"/>
      <c r="AK41" s="1302"/>
      <c r="AL41" s="1305"/>
      <c r="AM41" s="1146"/>
      <c r="AS41" s="10">
        <v>34</v>
      </c>
    </row>
    <row r="42" spans="1:45" s="200" customFormat="1" ht="11.25" hidden="1" customHeight="1">
      <c r="A42" s="79"/>
      <c r="B42" s="79"/>
      <c r="C42" s="79"/>
      <c r="D42" s="79"/>
      <c r="E42" s="79"/>
      <c r="F42" s="79"/>
      <c r="G42" s="79"/>
      <c r="H42" s="79"/>
      <c r="I42" s="79"/>
      <c r="J42" s="79"/>
      <c r="K42" s="79"/>
      <c r="L42" s="767"/>
      <c r="M42" s="503"/>
      <c r="N42" s="503"/>
      <c r="O42" s="503"/>
      <c r="P42" s="719"/>
      <c r="Q42" s="720"/>
      <c r="R42" s="722">
        <v>1</v>
      </c>
      <c r="S42" s="738" t="s">
        <v>107</v>
      </c>
      <c r="T42" s="723" t="s">
        <v>108</v>
      </c>
      <c r="U42" s="718" t="str">
        <f ca="1">OFFSET(U42,0,-1)</f>
        <v>2</v>
      </c>
      <c r="V42" s="724">
        <f ca="1">OFFSET(V42,0,-1)+1</f>
        <v>3</v>
      </c>
      <c r="W42" s="724"/>
      <c r="X42" s="724">
        <f ca="1">OFFSET(X42,0,-1)+1</f>
        <v>1</v>
      </c>
      <c r="Y42" s="724">
        <f ca="1">OFFSET(Y42,0,-1)+1</f>
        <v>2</v>
      </c>
      <c r="Z42" s="724">
        <f ca="1">OFFSET(Z42,0,-1)+1</f>
        <v>3</v>
      </c>
      <c r="AA42" s="1294">
        <f ca="1">OFFSET(AA42,0,-1)+1</f>
        <v>4</v>
      </c>
      <c r="AB42" s="1294"/>
      <c r="AC42" s="724">
        <f ca="1">OFFSET(AC42,0,-2)+1</f>
        <v>5</v>
      </c>
      <c r="AD42" s="724">
        <f ca="1">OFFSET(AD42,0,-1)+1</f>
        <v>6</v>
      </c>
      <c r="AE42" s="724"/>
      <c r="AF42" s="724">
        <f ca="1">OFFSET(AF42,0,-1)+1</f>
        <v>1</v>
      </c>
      <c r="AG42" s="724">
        <f ca="1">OFFSET(AG42,0,-1)+1</f>
        <v>2</v>
      </c>
      <c r="AH42" s="724">
        <f ca="1">OFFSET(AH42,0,-1)+1</f>
        <v>3</v>
      </c>
      <c r="AI42" s="1294">
        <f ca="1">OFFSET(AI42,0,-1)+1</f>
        <v>4</v>
      </c>
      <c r="AJ42" s="1294"/>
      <c r="AK42" s="724">
        <f ca="1">OFFSET(AK42,0,-2)+1</f>
        <v>5</v>
      </c>
      <c r="AL42" s="718">
        <f ca="1">OFFSET(AL42,0,-1)</f>
        <v>5</v>
      </c>
      <c r="AM42" s="724">
        <f ca="1">OFFSET(AM42,0,-1)+1</f>
        <v>6</v>
      </c>
      <c r="AN42" s="65"/>
      <c r="AO42" s="65"/>
      <c r="AP42" s="65"/>
      <c r="AQ42" s="65"/>
      <c r="AR42" s="65"/>
      <c r="AS42" s="200">
        <v>0</v>
      </c>
    </row>
    <row r="43" spans="1:45" ht="21.95" customHeight="1">
      <c r="A43" s="766" t="s">
        <v>159</v>
      </c>
      <c r="B43" s="766"/>
      <c r="C43" s="766"/>
      <c r="D43" s="766"/>
      <c r="E43" s="1283">
        <v>1</v>
      </c>
      <c r="F43" s="766"/>
      <c r="G43" s="766"/>
      <c r="H43" s="766"/>
      <c r="I43" s="766"/>
      <c r="J43" s="766"/>
      <c r="K43" s="766"/>
      <c r="L43" s="767"/>
      <c r="M43" s="423"/>
      <c r="N43" s="423"/>
      <c r="O43" s="423"/>
      <c r="Q43" s="33"/>
      <c r="R43" s="204"/>
      <c r="S43" s="706">
        <f>INDEX(PT_DIFFERENTIATION_NUM_NTAR,MATCH(A43,PT_DIFFERENTIATION_NTAR_ID,0))</f>
        <v>0</v>
      </c>
      <c r="T43" s="64" t="s">
        <v>121</v>
      </c>
      <c r="U43" s="168"/>
      <c r="V43" s="1277"/>
      <c r="W43" s="1278"/>
      <c r="X43" s="1278"/>
      <c r="Y43" s="1278"/>
      <c r="Z43" s="1278"/>
      <c r="AA43" s="1278"/>
      <c r="AB43" s="1278"/>
      <c r="AC43" s="1279"/>
      <c r="AD43" s="1277" t="str">
        <f>INDEX(PT_DIFFERENTIATION_NTAR,MATCH(A43,PT_DIFFERENTIATION_NTAR_ID,0))</f>
        <v/>
      </c>
      <c r="AE43" s="1278"/>
      <c r="AF43" s="1278"/>
      <c r="AG43" s="1278"/>
      <c r="AH43" s="1278"/>
      <c r="AI43" s="1278"/>
      <c r="AJ43" s="1278"/>
      <c r="AK43" s="1278"/>
      <c r="AL43" s="1279"/>
      <c r="AM43" s="72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66" t="s">
        <v>159</v>
      </c>
      <c r="B44" s="766" t="s">
        <v>160</v>
      </c>
      <c r="C44" s="766"/>
      <c r="D44" s="766"/>
      <c r="E44" s="1284"/>
      <c r="F44" s="1283">
        <v>1</v>
      </c>
      <c r="G44" s="766"/>
      <c r="H44" s="766"/>
      <c r="I44" s="766"/>
      <c r="J44" s="766"/>
      <c r="K44" s="766"/>
      <c r="L44" s="767"/>
      <c r="M44" s="423"/>
      <c r="N44" s="423"/>
      <c r="O44" s="423"/>
      <c r="P44" s="56"/>
      <c r="Q44" s="201"/>
      <c r="R44" s="202"/>
      <c r="S44" s="706" t="str">
        <f>INDEX(PT_DIFFERENTIATION_NUM_TER,MATCH(B44,PT_DIFFERENTIATION_TER_ID,0))</f>
        <v>.</v>
      </c>
      <c r="T44" s="174" t="s">
        <v>397</v>
      </c>
      <c r="U44" s="168"/>
      <c r="V44" s="1277"/>
      <c r="W44" s="1278"/>
      <c r="X44" s="1278"/>
      <c r="Y44" s="1278"/>
      <c r="Z44" s="1278"/>
      <c r="AA44" s="1278"/>
      <c r="AB44" s="1278"/>
      <c r="AC44" s="1279"/>
      <c r="AD44" s="1277" t="str">
        <f>INDEX(PT_DIFFERENTIATION_TER,MATCH(B44,PT_DIFFERENTIATION_TER_ID,0))</f>
        <v/>
      </c>
      <c r="AE44" s="1278"/>
      <c r="AF44" s="1278"/>
      <c r="AG44" s="1278"/>
      <c r="AH44" s="1278"/>
      <c r="AI44" s="1278"/>
      <c r="AJ44" s="1278"/>
      <c r="AK44" s="1278"/>
      <c r="AL44" s="1279"/>
      <c r="AM44" s="726" t="s">
        <v>398</v>
      </c>
      <c r="AO44" s="66"/>
      <c r="AP44" s="66" t="str">
        <f t="shared" si="1"/>
        <v>Территория действия тарифа</v>
      </c>
      <c r="AQ44" s="66"/>
      <c r="AR44" s="66"/>
      <c r="AS44" s="10">
        <v>21</v>
      </c>
    </row>
    <row r="45" spans="1:45" ht="24" customHeight="1">
      <c r="A45" s="766" t="s">
        <v>159</v>
      </c>
      <c r="B45" s="766" t="s">
        <v>160</v>
      </c>
      <c r="C45" s="766" t="s">
        <v>161</v>
      </c>
      <c r="D45" s="766"/>
      <c r="E45" s="1284"/>
      <c r="F45" s="1284"/>
      <c r="G45" s="1283">
        <v>1</v>
      </c>
      <c r="H45" s="766"/>
      <c r="I45" s="766"/>
      <c r="J45" s="766"/>
      <c r="K45" s="766"/>
      <c r="L45" s="767"/>
      <c r="M45" s="423"/>
      <c r="N45" s="423"/>
      <c r="O45" s="423"/>
      <c r="P45" s="203"/>
      <c r="Q45" s="201"/>
      <c r="R45" s="202"/>
      <c r="S45" s="706" t="str">
        <f>INDEX(PT_DIFFERENTIATION_NUM_CS,MATCH(C45,PT_DIFFERENTIATION_CS_ID,0))</f>
        <v>..</v>
      </c>
      <c r="T45" s="175" t="s">
        <v>399</v>
      </c>
      <c r="U45" s="168"/>
      <c r="V45" s="1277"/>
      <c r="W45" s="1278"/>
      <c r="X45" s="1278"/>
      <c r="Y45" s="1278"/>
      <c r="Z45" s="1278"/>
      <c r="AA45" s="1278"/>
      <c r="AB45" s="1278"/>
      <c r="AC45" s="1279"/>
      <c r="AD45" s="1277" t="str">
        <f>INDEX(PT_DIFFERENTIATION_CS,MATCH(C45,PT_DIFFERENTIATION_CS_ID,0))</f>
        <v/>
      </c>
      <c r="AE45" s="1278"/>
      <c r="AF45" s="1278"/>
      <c r="AG45" s="1278"/>
      <c r="AH45" s="1278"/>
      <c r="AI45" s="1278"/>
      <c r="AJ45" s="1278"/>
      <c r="AK45" s="1278"/>
      <c r="AL45" s="1279"/>
      <c r="AM45" s="726" t="s">
        <v>400</v>
      </c>
      <c r="AO45" s="66"/>
      <c r="AP45" s="66" t="str">
        <f t="shared" si="1"/>
        <v xml:space="preserve">Наименование системы теплоснабжения </v>
      </c>
      <c r="AQ45" s="66"/>
      <c r="AR45" s="66"/>
      <c r="AS45" s="10">
        <v>23</v>
      </c>
    </row>
    <row r="46" spans="1:45" ht="21.95" customHeight="1">
      <c r="A46" s="766" t="s">
        <v>159</v>
      </c>
      <c r="B46" s="766" t="s">
        <v>160</v>
      </c>
      <c r="C46" s="766" t="s">
        <v>161</v>
      </c>
      <c r="D46" s="766" t="s">
        <v>162</v>
      </c>
      <c r="E46" s="1284"/>
      <c r="F46" s="1284"/>
      <c r="G46" s="1284"/>
      <c r="H46" s="1283">
        <v>1</v>
      </c>
      <c r="I46" s="766"/>
      <c r="J46" s="766"/>
      <c r="K46" s="766"/>
      <c r="L46" s="767"/>
      <c r="M46" s="423"/>
      <c r="N46" s="423"/>
      <c r="O46" s="423"/>
      <c r="P46" s="203"/>
      <c r="Q46" s="201"/>
      <c r="R46" s="202"/>
      <c r="S46" s="706" t="str">
        <f>INDEX(PT_DIFFERENTIATION_NUM_IST_TE,MATCH(D46,PT_DIFFERENTIATION_IST_TE_ID,0))</f>
        <v>...</v>
      </c>
      <c r="T46" s="176" t="s">
        <v>401</v>
      </c>
      <c r="U46" s="168"/>
      <c r="V46" s="1277"/>
      <c r="W46" s="1278"/>
      <c r="X46" s="1278"/>
      <c r="Y46" s="1278"/>
      <c r="Z46" s="1278"/>
      <c r="AA46" s="1278"/>
      <c r="AB46" s="1278"/>
      <c r="AC46" s="1279"/>
      <c r="AD46" s="1277" t="str">
        <f>INDEX(PT_DIFFERENTIATION_IST_TE,MATCH(D46,PT_DIFFERENTIATION_IST_TE_ID,0))</f>
        <v/>
      </c>
      <c r="AE46" s="1278"/>
      <c r="AF46" s="1278"/>
      <c r="AG46" s="1278"/>
      <c r="AH46" s="1278"/>
      <c r="AI46" s="1278"/>
      <c r="AJ46" s="1278"/>
      <c r="AK46" s="1278"/>
      <c r="AL46" s="1279"/>
      <c r="AM46" s="726" t="s">
        <v>402</v>
      </c>
      <c r="AO46" s="66"/>
      <c r="AP46" s="66" t="str">
        <f t="shared" si="1"/>
        <v xml:space="preserve">Источник тепловой энергии  </v>
      </c>
      <c r="AQ46" s="66"/>
      <c r="AR46" s="66"/>
      <c r="AS46" s="10">
        <v>21</v>
      </c>
    </row>
    <row r="47" spans="1:45" ht="49.5" customHeight="1">
      <c r="A47" s="766" t="s">
        <v>159</v>
      </c>
      <c r="B47" s="766" t="s">
        <v>160</v>
      </c>
      <c r="C47" s="766" t="s">
        <v>161</v>
      </c>
      <c r="D47" s="766" t="s">
        <v>162</v>
      </c>
      <c r="E47" s="1284"/>
      <c r="F47" s="1284"/>
      <c r="G47" s="1284"/>
      <c r="H47" s="1284"/>
      <c r="I47" s="1285" t="str">
        <f>S46&amp;".1"</f>
        <v>....1</v>
      </c>
      <c r="J47" s="766"/>
      <c r="K47" s="766"/>
      <c r="L47" s="767" t="s">
        <v>403</v>
      </c>
      <c r="P47" s="1287">
        <v>1</v>
      </c>
      <c r="Q47" s="119"/>
      <c r="R47" s="205"/>
      <c r="S47" s="706" t="str">
        <f>$I47</f>
        <v>....1</v>
      </c>
      <c r="T47" s="161" t="s">
        <v>404</v>
      </c>
      <c r="U47" s="168"/>
      <c r="V47" s="1271"/>
      <c r="W47" s="1272"/>
      <c r="X47" s="1272"/>
      <c r="Y47" s="1272"/>
      <c r="Z47" s="1272"/>
      <c r="AA47" s="1272"/>
      <c r="AB47" s="1272"/>
      <c r="AC47" s="1273"/>
      <c r="AD47" s="1271"/>
      <c r="AE47" s="1272"/>
      <c r="AF47" s="1272"/>
      <c r="AG47" s="1272"/>
      <c r="AH47" s="1272"/>
      <c r="AI47" s="1272"/>
      <c r="AJ47" s="1272"/>
      <c r="AK47" s="1272"/>
      <c r="AL47" s="1273"/>
      <c r="AM47" s="726" t="s">
        <v>405</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1.95" customHeight="1">
      <c r="A48" s="766" t="s">
        <v>159</v>
      </c>
      <c r="B48" s="766" t="s">
        <v>160</v>
      </c>
      <c r="C48" s="766" t="s">
        <v>161</v>
      </c>
      <c r="D48" s="766" t="s">
        <v>162</v>
      </c>
      <c r="E48" s="1284"/>
      <c r="F48" s="1284"/>
      <c r="G48" s="1284"/>
      <c r="H48" s="1284"/>
      <c r="I48" s="1286"/>
      <c r="J48" s="1285" t="str">
        <f>I47&amp;".1"</f>
        <v>....1.1</v>
      </c>
      <c r="K48" s="766"/>
      <c r="L48" s="767" t="s">
        <v>406</v>
      </c>
      <c r="P48" s="1287"/>
      <c r="Q48" s="1287">
        <v>1</v>
      </c>
      <c r="R48" s="206"/>
      <c r="S48" s="706" t="str">
        <f>$J48</f>
        <v>....1.1</v>
      </c>
      <c r="T48" s="162" t="s">
        <v>407</v>
      </c>
      <c r="U48" s="168"/>
      <c r="V48" s="1271"/>
      <c r="W48" s="1272"/>
      <c r="X48" s="1272"/>
      <c r="Y48" s="1272"/>
      <c r="Z48" s="1272"/>
      <c r="AA48" s="1272"/>
      <c r="AB48" s="1272"/>
      <c r="AC48" s="1273"/>
      <c r="AD48" s="1271"/>
      <c r="AE48" s="1272"/>
      <c r="AF48" s="1272"/>
      <c r="AG48" s="1272"/>
      <c r="AH48" s="1272"/>
      <c r="AI48" s="1272"/>
      <c r="AJ48" s="1272"/>
      <c r="AK48" s="1272"/>
      <c r="AL48" s="1273"/>
      <c r="AM48" s="726" t="s">
        <v>408</v>
      </c>
      <c r="AO48" s="66"/>
      <c r="AP48" s="66" t="str">
        <f t="shared" si="1"/>
        <v>Группа потребителей</v>
      </c>
      <c r="AQ48" s="66"/>
      <c r="AR48" s="66"/>
      <c r="AS48" s="10">
        <v>21</v>
      </c>
    </row>
    <row r="49" spans="1:45" ht="21.95" customHeight="1">
      <c r="A49" s="766" t="s">
        <v>159</v>
      </c>
      <c r="B49" s="766" t="s">
        <v>160</v>
      </c>
      <c r="C49" s="766" t="s">
        <v>161</v>
      </c>
      <c r="D49" s="766" t="s">
        <v>162</v>
      </c>
      <c r="E49" s="1284"/>
      <c r="F49" s="1284"/>
      <c r="G49" s="1284"/>
      <c r="H49" s="1284"/>
      <c r="I49" s="1286"/>
      <c r="J49" s="1286"/>
      <c r="K49" s="1285" t="str">
        <f>J48&amp;".1"</f>
        <v>....1.1.1</v>
      </c>
      <c r="L49" s="767" t="s">
        <v>409</v>
      </c>
      <c r="P49" s="1287"/>
      <c r="Q49" s="1287"/>
      <c r="R49" s="206">
        <v>1</v>
      </c>
      <c r="S49" s="706" t="str">
        <f>$K49</f>
        <v>....1.1.1</v>
      </c>
      <c r="T49" s="762"/>
      <c r="U49" s="168"/>
      <c r="V49" s="303"/>
      <c r="W49" s="188"/>
      <c r="X49" s="303"/>
      <c r="Y49" s="725"/>
      <c r="Z49" s="1288"/>
      <c r="AA49" s="1156" t="s">
        <v>64</v>
      </c>
      <c r="AB49" s="1288"/>
      <c r="AC49" s="1156" t="s">
        <v>64</v>
      </c>
      <c r="AD49" s="303"/>
      <c r="AE49" s="188"/>
      <c r="AF49" s="303"/>
      <c r="AG49" s="725"/>
      <c r="AH49" s="1288"/>
      <c r="AI49" s="1156" t="s">
        <v>64</v>
      </c>
      <c r="AJ49" s="1290"/>
      <c r="AK49" s="1156" t="s">
        <v>64</v>
      </c>
      <c r="AL49" s="763"/>
      <c r="AM49" s="1306" t="s">
        <v>410</v>
      </c>
      <c r="AN49" s="65" t="e">
        <f ca="1">STRCHECKDATE(V50:AL50)</f>
        <v>#NAME?</v>
      </c>
      <c r="AO49" s="66"/>
      <c r="AP49" s="66" t="str">
        <f t="shared" si="1"/>
        <v/>
      </c>
      <c r="AQ49" s="66"/>
      <c r="AR49" s="66"/>
      <c r="AS49" s="10">
        <v>21</v>
      </c>
    </row>
    <row r="50" spans="1:45" ht="1.1499999999999999" customHeight="1">
      <c r="A50" s="766" t="s">
        <v>159</v>
      </c>
      <c r="B50" s="766" t="s">
        <v>160</v>
      </c>
      <c r="C50" s="766" t="s">
        <v>161</v>
      </c>
      <c r="D50" s="766" t="s">
        <v>162</v>
      </c>
      <c r="E50" s="1284"/>
      <c r="F50" s="1284"/>
      <c r="G50" s="1284"/>
      <c r="H50" s="1284"/>
      <c r="I50" s="1286"/>
      <c r="J50" s="1286"/>
      <c r="K50" s="1285"/>
      <c r="L50" s="767"/>
      <c r="P50" s="1287"/>
      <c r="Q50" s="1287"/>
      <c r="R50" s="206"/>
      <c r="S50" s="62"/>
      <c r="T50" s="168"/>
      <c r="U50" s="168"/>
      <c r="V50" s="188"/>
      <c r="W50" s="188"/>
      <c r="X50" s="188"/>
      <c r="Y50" s="189" t="str">
        <f>Z49&amp;"-"&amp;AB49</f>
        <v>-</v>
      </c>
      <c r="Z50" s="1289"/>
      <c r="AA50" s="1156"/>
      <c r="AB50" s="1289"/>
      <c r="AC50" s="1156"/>
      <c r="AD50" s="188"/>
      <c r="AE50" s="188"/>
      <c r="AF50" s="188"/>
      <c r="AG50" s="189" t="str">
        <f>AH49&amp;"-"&amp;AJ49</f>
        <v>-</v>
      </c>
      <c r="AH50" s="1289"/>
      <c r="AI50" s="1156"/>
      <c r="AJ50" s="1291"/>
      <c r="AK50" s="1156"/>
      <c r="AL50" s="764"/>
      <c r="AM50" s="1307"/>
      <c r="AO50" s="66"/>
      <c r="AP50" s="66" t="str">
        <f t="shared" si="1"/>
        <v/>
      </c>
      <c r="AQ50" s="66"/>
      <c r="AR50" s="66"/>
      <c r="AS50" s="10">
        <v>1</v>
      </c>
    </row>
    <row r="51" spans="1:45" ht="11.45" customHeight="1">
      <c r="A51" s="766" t="s">
        <v>159</v>
      </c>
      <c r="B51" s="766" t="s">
        <v>160</v>
      </c>
      <c r="C51" s="766" t="s">
        <v>161</v>
      </c>
      <c r="D51" s="766" t="s">
        <v>162</v>
      </c>
      <c r="E51" s="1284"/>
      <c r="F51" s="1284"/>
      <c r="G51" s="1284"/>
      <c r="H51" s="1284"/>
      <c r="I51" s="1286"/>
      <c r="J51" s="1285"/>
      <c r="K51" s="766"/>
      <c r="L51" s="767"/>
      <c r="P51" s="1287"/>
      <c r="Q51" s="1287"/>
      <c r="R51" s="205"/>
      <c r="S51" s="739"/>
      <c r="T51" s="164" t="s">
        <v>411</v>
      </c>
      <c r="U51" s="210"/>
      <c r="V51" s="210"/>
      <c r="W51" s="210"/>
      <c r="X51" s="210"/>
      <c r="Y51" s="210"/>
      <c r="Z51" s="210"/>
      <c r="AA51" s="210"/>
      <c r="AB51" s="210"/>
      <c r="AC51" s="210"/>
      <c r="AD51" s="210"/>
      <c r="AE51" s="210"/>
      <c r="AF51" s="210"/>
      <c r="AG51" s="210"/>
      <c r="AH51" s="210"/>
      <c r="AI51" s="210"/>
      <c r="AJ51" s="210"/>
      <c r="AK51" s="210"/>
      <c r="AL51" s="187"/>
      <c r="AM51" s="1308"/>
      <c r="AO51" s="66"/>
      <c r="AP51" s="66" t="str">
        <f t="shared" si="1"/>
        <v>Добавить вид теплоносителя (параметры теплоносителя)</v>
      </c>
      <c r="AQ51" s="66"/>
      <c r="AR51" s="66"/>
      <c r="AS51" s="10">
        <v>11</v>
      </c>
    </row>
    <row r="52" spans="1:45" ht="11.45" customHeight="1">
      <c r="A52" s="766" t="s">
        <v>159</v>
      </c>
      <c r="B52" s="766" t="s">
        <v>160</v>
      </c>
      <c r="C52" s="766" t="s">
        <v>161</v>
      </c>
      <c r="D52" s="766" t="s">
        <v>162</v>
      </c>
      <c r="E52" s="1284"/>
      <c r="F52" s="1284"/>
      <c r="G52" s="1284"/>
      <c r="H52" s="1284"/>
      <c r="I52" s="1285"/>
      <c r="J52" s="766"/>
      <c r="K52" s="766"/>
      <c r="L52" s="767"/>
      <c r="P52" s="1287"/>
      <c r="Q52" s="119"/>
      <c r="R52" s="205"/>
      <c r="S52" s="739"/>
      <c r="T52" s="163" t="s">
        <v>412</v>
      </c>
      <c r="U52" s="210"/>
      <c r="V52" s="210"/>
      <c r="W52" s="210"/>
      <c r="X52" s="210"/>
      <c r="Y52" s="210"/>
      <c r="Z52" s="210"/>
      <c r="AA52" s="210"/>
      <c r="AB52" s="210"/>
      <c r="AC52" s="209"/>
      <c r="AD52" s="210"/>
      <c r="AE52" s="210"/>
      <c r="AF52" s="210"/>
      <c r="AG52" s="210"/>
      <c r="AH52" s="210"/>
      <c r="AI52" s="210"/>
      <c r="AJ52" s="210"/>
      <c r="AK52" s="209"/>
      <c r="AL52" s="210"/>
      <c r="AM52" s="171"/>
      <c r="AO52" s="66"/>
      <c r="AP52" s="66" t="str">
        <f t="shared" si="1"/>
        <v>Добавить группу потребителей</v>
      </c>
      <c r="AQ52" s="66"/>
      <c r="AR52" s="66"/>
      <c r="AS52" s="10">
        <v>11</v>
      </c>
    </row>
    <row r="53" spans="1:45" ht="14.65" customHeight="1">
      <c r="A53" s="766" t="s">
        <v>159</v>
      </c>
      <c r="B53" s="766" t="s">
        <v>160</v>
      </c>
      <c r="C53" s="766" t="s">
        <v>161</v>
      </c>
      <c r="D53" s="766" t="s">
        <v>162</v>
      </c>
      <c r="E53" s="1284"/>
      <c r="F53" s="1284"/>
      <c r="G53" s="1284"/>
      <c r="H53" s="1283"/>
      <c r="I53" s="766"/>
      <c r="J53" s="766"/>
      <c r="K53" s="766"/>
      <c r="L53" s="767"/>
      <c r="M53" s="423"/>
      <c r="N53" s="423"/>
      <c r="O53" s="60"/>
      <c r="P53" s="33"/>
      <c r="Q53" s="213"/>
      <c r="R53" s="204"/>
      <c r="S53" s="739"/>
      <c r="T53" s="208" t="s">
        <v>413</v>
      </c>
      <c r="U53" s="210"/>
      <c r="V53" s="210"/>
      <c r="W53" s="210"/>
      <c r="X53" s="210"/>
      <c r="Y53" s="210"/>
      <c r="Z53" s="210"/>
      <c r="AA53" s="210"/>
      <c r="AB53" s="210"/>
      <c r="AC53" s="209"/>
      <c r="AD53" s="210"/>
      <c r="AE53" s="210"/>
      <c r="AF53" s="210"/>
      <c r="AG53" s="210"/>
      <c r="AH53" s="210"/>
      <c r="AI53" s="210"/>
      <c r="AJ53" s="210"/>
      <c r="AK53" s="209"/>
      <c r="AL53" s="210"/>
      <c r="AM53" s="171"/>
      <c r="AO53" s="66"/>
      <c r="AP53" s="66" t="str">
        <f t="shared" si="1"/>
        <v>Добавить схему подключения</v>
      </c>
      <c r="AQ53" s="66"/>
      <c r="AR53" s="66"/>
      <c r="AS53" s="10">
        <v>14</v>
      </c>
    </row>
    <row r="54" spans="1:45" s="65" customFormat="1" ht="1.1499999999999999" customHeight="1">
      <c r="A54" s="142" t="s">
        <v>159</v>
      </c>
      <c r="B54" s="142" t="s">
        <v>160</v>
      </c>
      <c r="C54" s="142" t="s">
        <v>161</v>
      </c>
      <c r="D54" s="142"/>
      <c r="E54" s="1284"/>
      <c r="F54" s="1284"/>
      <c r="G54" s="1283"/>
      <c r="H54" s="142"/>
      <c r="I54" s="142"/>
      <c r="J54" s="142"/>
      <c r="K54" s="142"/>
      <c r="L54" s="343"/>
      <c r="M54" s="290"/>
      <c r="N54" s="290"/>
      <c r="P54" s="101"/>
      <c r="Q54" s="752"/>
      <c r="R54" s="101"/>
      <c r="S54" s="757"/>
      <c r="T54" s="759" t="s">
        <v>414</v>
      </c>
      <c r="U54" s="310"/>
      <c r="V54" s="310"/>
      <c r="W54" s="310"/>
      <c r="X54" s="310"/>
      <c r="Y54" s="310"/>
      <c r="Z54" s="310"/>
      <c r="AA54" s="310"/>
      <c r="AB54" s="310"/>
      <c r="AC54" s="310"/>
      <c r="AD54" s="310"/>
      <c r="AE54" s="310"/>
      <c r="AF54" s="310"/>
      <c r="AG54" s="310"/>
      <c r="AH54" s="310"/>
      <c r="AI54" s="310"/>
      <c r="AJ54" s="310"/>
      <c r="AK54" s="310"/>
      <c r="AL54" s="310"/>
      <c r="AM54" s="310"/>
      <c r="AO54" s="66"/>
      <c r="AP54" s="66" t="str">
        <f t="shared" si="1"/>
        <v>Добавить источник для дифференциации</v>
      </c>
      <c r="AQ54" s="66"/>
      <c r="AR54" s="66"/>
      <c r="AS54" s="65">
        <v>1</v>
      </c>
    </row>
    <row r="55" spans="1:45" s="65" customFormat="1" ht="1.1499999999999999" customHeight="1">
      <c r="A55" s="142" t="s">
        <v>159</v>
      </c>
      <c r="B55" s="142" t="s">
        <v>160</v>
      </c>
      <c r="C55" s="142"/>
      <c r="D55" s="142"/>
      <c r="E55" s="1284"/>
      <c r="F55" s="1283"/>
      <c r="G55" s="142"/>
      <c r="H55" s="142"/>
      <c r="I55" s="142"/>
      <c r="J55" s="142"/>
      <c r="K55" s="142"/>
      <c r="L55" s="343"/>
      <c r="M55" s="756"/>
      <c r="N55" s="756"/>
      <c r="P55" s="101"/>
      <c r="Q55" s="752"/>
      <c r="R55" s="101"/>
      <c r="S55" s="757"/>
      <c r="T55" s="759" t="s">
        <v>231</v>
      </c>
      <c r="U55" s="310"/>
      <c r="V55" s="310"/>
      <c r="W55" s="310"/>
      <c r="X55" s="310"/>
      <c r="Y55" s="310"/>
      <c r="Z55" s="310"/>
      <c r="AA55" s="310"/>
      <c r="AB55" s="310"/>
      <c r="AC55" s="310"/>
      <c r="AD55" s="310"/>
      <c r="AE55" s="310"/>
      <c r="AF55" s="310"/>
      <c r="AG55" s="310"/>
      <c r="AH55" s="310"/>
      <c r="AI55" s="310"/>
      <c r="AJ55" s="310"/>
      <c r="AK55" s="310"/>
      <c r="AL55" s="310"/>
      <c r="AM55" s="310"/>
      <c r="AO55" s="66"/>
      <c r="AP55" s="66" t="str">
        <f t="shared" si="1"/>
        <v>Добавить централизованную систему для дифференциации</v>
      </c>
      <c r="AQ55" s="66"/>
      <c r="AR55" s="66"/>
      <c r="AS55" s="65">
        <v>1</v>
      </c>
    </row>
    <row r="56" spans="1:45" s="65" customFormat="1" ht="1.1499999999999999" customHeight="1">
      <c r="A56" s="142" t="s">
        <v>159</v>
      </c>
      <c r="B56" s="142"/>
      <c r="C56" s="142"/>
      <c r="D56" s="142"/>
      <c r="E56" s="1283"/>
      <c r="F56" s="142"/>
      <c r="G56" s="142"/>
      <c r="H56" s="142"/>
      <c r="I56" s="142"/>
      <c r="J56" s="142"/>
      <c r="K56" s="142"/>
      <c r="L56" s="343"/>
      <c r="M56" s="756"/>
      <c r="N56" s="756"/>
      <c r="P56" s="101"/>
      <c r="Q56" s="752"/>
      <c r="R56" s="101"/>
      <c r="S56" s="757"/>
      <c r="T56" s="759" t="s">
        <v>232</v>
      </c>
      <c r="U56" s="310"/>
      <c r="V56" s="310"/>
      <c r="W56" s="310"/>
      <c r="X56" s="310"/>
      <c r="Y56" s="310"/>
      <c r="Z56" s="310"/>
      <c r="AA56" s="310"/>
      <c r="AB56" s="310"/>
      <c r="AC56" s="310"/>
      <c r="AD56" s="310"/>
      <c r="AE56" s="310"/>
      <c r="AF56" s="310"/>
      <c r="AG56" s="310"/>
      <c r="AH56" s="310"/>
      <c r="AI56" s="310"/>
      <c r="AJ56" s="310"/>
      <c r="AK56" s="310"/>
      <c r="AL56" s="310"/>
      <c r="AM56" s="310"/>
      <c r="AO56" s="66"/>
      <c r="AP56" s="66" t="str">
        <f t="shared" si="1"/>
        <v>Добавить территорию для дифференциации</v>
      </c>
      <c r="AQ56" s="66"/>
      <c r="AR56" s="66"/>
      <c r="AS56" s="65">
        <v>1</v>
      </c>
    </row>
    <row r="57" spans="1:45" s="65" customFormat="1" ht="1.1499999999999999" customHeight="1">
      <c r="A57" s="142"/>
      <c r="B57" s="142"/>
      <c r="C57" s="142"/>
      <c r="D57" s="142"/>
      <c r="E57" s="142"/>
      <c r="F57" s="142"/>
      <c r="G57" s="142"/>
      <c r="H57" s="142"/>
      <c r="I57" s="142"/>
      <c r="J57" s="142"/>
      <c r="K57" s="142"/>
      <c r="L57" s="343"/>
      <c r="M57" s="756"/>
      <c r="N57" s="756"/>
      <c r="P57" s="101"/>
      <c r="Q57" s="752"/>
      <c r="R57" s="101"/>
      <c r="S57" s="757"/>
      <c r="T57" s="759" t="s">
        <v>233</v>
      </c>
      <c r="U57" s="310"/>
      <c r="V57" s="310"/>
      <c r="W57" s="310"/>
      <c r="X57" s="310"/>
      <c r="Y57" s="310"/>
      <c r="Z57" s="310"/>
      <c r="AA57" s="310"/>
      <c r="AB57" s="310"/>
      <c r="AC57" s="310"/>
      <c r="AD57" s="310"/>
      <c r="AE57" s="310"/>
      <c r="AF57" s="310"/>
      <c r="AG57" s="310"/>
      <c r="AH57" s="310"/>
      <c r="AI57" s="310"/>
      <c r="AJ57" s="310"/>
      <c r="AK57" s="310"/>
      <c r="AL57" s="310"/>
      <c r="AM57" s="310"/>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28.5" customHeight="1">
      <c r="O59" s="60"/>
      <c r="S59" s="195"/>
      <c r="T59" s="1282"/>
      <c r="U59" s="1282"/>
      <c r="V59" s="1282"/>
      <c r="W59" s="1282"/>
      <c r="X59" s="1282"/>
      <c r="Y59" s="1282"/>
      <c r="Z59" s="1282"/>
      <c r="AA59" s="1282"/>
      <c r="AB59" s="1282"/>
      <c r="AC59" s="1282"/>
      <c r="AD59" s="1282"/>
      <c r="AE59" s="1282"/>
      <c r="AF59" s="1282"/>
      <c r="AG59" s="1282"/>
      <c r="AH59" s="1282"/>
      <c r="AI59" s="1282"/>
      <c r="AJ59" s="1282"/>
      <c r="AK59" s="1282"/>
      <c r="AL59" s="1282"/>
      <c r="AM59" s="1282"/>
      <c r="AS59" s="10">
        <v>27</v>
      </c>
    </row>
    <row r="60" spans="1:45" ht="65.25" customHeight="1">
      <c r="O60" s="60"/>
      <c r="T60" s="1282"/>
      <c r="U60" s="1282"/>
      <c r="V60" s="1282"/>
      <c r="W60" s="1282"/>
      <c r="X60" s="1282"/>
      <c r="Y60" s="1282"/>
      <c r="Z60" s="1282"/>
      <c r="AA60" s="1282"/>
      <c r="AB60" s="1282"/>
      <c r="AC60" s="1282"/>
      <c r="AD60" s="1282"/>
      <c r="AE60" s="1282"/>
      <c r="AF60" s="1282"/>
      <c r="AG60" s="1282"/>
      <c r="AH60" s="1282"/>
      <c r="AI60" s="1282"/>
      <c r="AJ60" s="1282"/>
      <c r="AK60" s="1282"/>
      <c r="AL60" s="1282"/>
      <c r="AM60" s="1282"/>
      <c r="AS60" s="10">
        <v>62</v>
      </c>
    </row>
    <row r="61" spans="1:45" ht="14.65" customHeight="1">
      <c r="O61" s="60"/>
      <c r="AS61" s="10">
        <v>14</v>
      </c>
    </row>
    <row r="62" spans="1:45" ht="18.75" customHeight="1">
      <c r="O62" s="60"/>
      <c r="S62" s="195"/>
      <c r="T62" s="1282"/>
      <c r="U62" s="1282"/>
      <c r="V62" s="1282"/>
      <c r="W62" s="1282"/>
      <c r="X62" s="1282"/>
      <c r="Y62" s="1282"/>
      <c r="Z62" s="1282"/>
      <c r="AA62" s="1282"/>
      <c r="AB62" s="1282"/>
      <c r="AC62" s="1282"/>
      <c r="AD62" s="1282"/>
      <c r="AE62" s="1282"/>
      <c r="AF62" s="1282"/>
      <c r="AG62" s="1282"/>
      <c r="AH62" s="1282"/>
      <c r="AI62" s="1282"/>
      <c r="AJ62" s="1282"/>
      <c r="AK62" s="1282"/>
      <c r="AL62" s="1282"/>
      <c r="AM62" s="1282"/>
      <c r="AS62" s="10">
        <v>18</v>
      </c>
    </row>
    <row r="63" spans="1:45" ht="18.75" customHeight="1">
      <c r="O63" s="60"/>
      <c r="T63" s="1282"/>
      <c r="U63" s="1282"/>
      <c r="V63" s="1282"/>
      <c r="W63" s="1282"/>
      <c r="X63" s="1282"/>
      <c r="Y63" s="1282"/>
      <c r="Z63" s="1282"/>
      <c r="AA63" s="1282"/>
      <c r="AB63" s="1282"/>
      <c r="AC63" s="1282"/>
      <c r="AD63" s="1282"/>
      <c r="AE63" s="1282"/>
      <c r="AF63" s="1282"/>
      <c r="AG63" s="1282"/>
      <c r="AH63" s="1282"/>
      <c r="AI63" s="1282"/>
      <c r="AJ63" s="1282"/>
      <c r="AK63" s="1282"/>
      <c r="AL63" s="1282"/>
      <c r="AM63" s="1282"/>
      <c r="AS63" s="10">
        <v>18</v>
      </c>
    </row>
    <row r="64" spans="1:45" ht="29.25" customHeight="1">
      <c r="O64" s="60"/>
      <c r="S64" s="195"/>
      <c r="T64" s="1282"/>
      <c r="U64" s="1282"/>
      <c r="V64" s="1282"/>
      <c r="W64" s="1282"/>
      <c r="X64" s="1282"/>
      <c r="Y64" s="1282"/>
      <c r="Z64" s="1282"/>
      <c r="AA64" s="1282"/>
      <c r="AB64" s="1282"/>
      <c r="AC64" s="1282"/>
      <c r="AD64" s="1282"/>
      <c r="AE64" s="1282"/>
      <c r="AF64" s="1282"/>
      <c r="AG64" s="1282"/>
      <c r="AH64" s="1282"/>
      <c r="AI64" s="1282"/>
      <c r="AJ64" s="1282"/>
      <c r="AK64" s="1282"/>
      <c r="AL64" s="1282"/>
      <c r="AM64" s="1282"/>
      <c r="AS64" s="10">
        <v>28</v>
      </c>
    </row>
    <row r="65" spans="1:45" ht="22.5" hidden="1" customHeight="1">
      <c r="A65" s="60" t="s">
        <v>80</v>
      </c>
      <c r="B65" s="60">
        <v>0</v>
      </c>
      <c r="C65" s="60">
        <v>0</v>
      </c>
      <c r="D65" s="60">
        <v>0</v>
      </c>
      <c r="E65" s="60">
        <v>0</v>
      </c>
      <c r="F65" s="60">
        <v>0</v>
      </c>
      <c r="G65" s="60">
        <v>0</v>
      </c>
      <c r="H65" s="60">
        <v>0</v>
      </c>
      <c r="I65" s="60">
        <v>0</v>
      </c>
      <c r="J65" s="60">
        <v>0</v>
      </c>
      <c r="K65" s="60">
        <v>0</v>
      </c>
      <c r="L65" s="298">
        <v>0</v>
      </c>
      <c r="M65" s="503">
        <v>0</v>
      </c>
      <c r="N65" s="503">
        <v>0</v>
      </c>
      <c r="O65" s="503">
        <v>0</v>
      </c>
      <c r="P65" s="32">
        <v>3</v>
      </c>
      <c r="Q65" s="28">
        <v>3</v>
      </c>
      <c r="R65" s="28">
        <v>3</v>
      </c>
      <c r="S65" s="339">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5">
        <v>10</v>
      </c>
      <c r="AO65" s="65">
        <v>10</v>
      </c>
      <c r="AP65" s="65">
        <v>10</v>
      </c>
      <c r="AQ65" s="65">
        <v>10</v>
      </c>
      <c r="AR65" s="65">
        <v>10</v>
      </c>
      <c r="AS65" s="1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6" hidden="1" customWidth="1"/>
    <col min="13" max="14" width="12.28515625" style="32" hidden="1" customWidth="1"/>
    <col min="15" max="15" width="23.42578125" style="32" hidden="1" customWidth="1"/>
    <col min="16" max="16" width="3" style="32" customWidth="1"/>
    <col min="17" max="18" width="3" style="28" customWidth="1"/>
    <col min="19" max="19" width="12" style="339"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28"/>
      <c r="B2" s="728"/>
      <c r="C2" s="728"/>
      <c r="D2" s="728"/>
      <c r="E2" s="1309">
        <v>1</v>
      </c>
      <c r="F2" s="728"/>
      <c r="G2" s="728"/>
      <c r="H2" s="728"/>
      <c r="I2" s="728"/>
      <c r="J2" s="728"/>
      <c r="K2" s="728"/>
      <c r="L2" s="751"/>
      <c r="M2" s="339"/>
      <c r="N2" s="339"/>
      <c r="O2" s="339"/>
      <c r="Q2" s="33"/>
      <c r="R2" s="204"/>
      <c r="S2" s="706" t="e">
        <f>INDEX(PT_DIFFERENTIATION_NUM_NTAR,MATCH(A2,PT_DIFFERENTIATION_NTAR_ID,0))</f>
        <v>#N/A</v>
      </c>
      <c r="T2" s="64" t="s">
        <v>121</v>
      </c>
      <c r="U2" s="168"/>
      <c r="V2" s="1277"/>
      <c r="W2" s="1278"/>
      <c r="X2" s="1278"/>
      <c r="Y2" s="1278"/>
      <c r="Z2" s="1278"/>
      <c r="AA2" s="1278"/>
      <c r="AB2" s="1278"/>
      <c r="AC2" s="1279"/>
      <c r="AD2" s="1277" t="e">
        <f>INDEX(PT_DIFFERENTIATION_NTAR,MATCH(A2,PT_DIFFERENTIATION_NTAR_ID,0))</f>
        <v>#N/A</v>
      </c>
      <c r="AE2" s="1278"/>
      <c r="AF2" s="1278"/>
      <c r="AG2" s="1278"/>
      <c r="AH2" s="1278"/>
      <c r="AI2" s="1278"/>
      <c r="AJ2" s="1278"/>
      <c r="AK2" s="1278"/>
      <c r="AL2" s="1279"/>
      <c r="AM2" s="726" t="s">
        <v>396</v>
      </c>
      <c r="AO2" s="66"/>
      <c r="AP2" s="66" t="str">
        <f t="shared" ref="AP2:AP15" si="0">IF(T2="","",T2)</f>
        <v>Наименование тарифа</v>
      </c>
      <c r="AQ2" s="66"/>
      <c r="AR2" s="66"/>
      <c r="AS2" s="10">
        <v>0</v>
      </c>
    </row>
    <row r="3" spans="1:45" ht="21" hidden="1" customHeight="1">
      <c r="A3" s="728"/>
      <c r="B3" s="728"/>
      <c r="C3" s="728"/>
      <c r="D3" s="728"/>
      <c r="E3" s="1310"/>
      <c r="F3" s="1309">
        <v>1</v>
      </c>
      <c r="G3" s="728"/>
      <c r="H3" s="728"/>
      <c r="I3" s="728"/>
      <c r="J3" s="728"/>
      <c r="K3" s="728"/>
      <c r="L3" s="751"/>
      <c r="M3" s="339"/>
      <c r="N3" s="339"/>
      <c r="O3" s="339"/>
      <c r="P3" s="56"/>
      <c r="Q3" s="201"/>
      <c r="R3" s="202"/>
      <c r="S3" s="706" t="e">
        <f>INDEX(PT_DIFFERENTIATION_NUM_TER,MATCH(B3,PT_DIFFERENTIATION_TER_ID,0))</f>
        <v>#N/A</v>
      </c>
      <c r="T3" s="174" t="s">
        <v>397</v>
      </c>
      <c r="U3" s="168"/>
      <c r="V3" s="1277"/>
      <c r="W3" s="1278"/>
      <c r="X3" s="1278"/>
      <c r="Y3" s="1278"/>
      <c r="Z3" s="1278"/>
      <c r="AA3" s="1278"/>
      <c r="AB3" s="1278"/>
      <c r="AC3" s="1279"/>
      <c r="AD3" s="1277" t="e">
        <f>INDEX(PT_DIFFERENTIATION_TER,MATCH(B3,PT_DIFFERENTIATION_TER_ID,0))</f>
        <v>#N/A</v>
      </c>
      <c r="AE3" s="1278"/>
      <c r="AF3" s="1278"/>
      <c r="AG3" s="1278"/>
      <c r="AH3" s="1278"/>
      <c r="AI3" s="1278"/>
      <c r="AJ3" s="1278"/>
      <c r="AK3" s="1278"/>
      <c r="AL3" s="1279"/>
      <c r="AM3" s="726" t="s">
        <v>398</v>
      </c>
      <c r="AO3" s="66"/>
      <c r="AP3" s="66" t="str">
        <f t="shared" si="0"/>
        <v>Территория действия тарифа</v>
      </c>
      <c r="AQ3" s="66"/>
      <c r="AR3" s="66"/>
      <c r="AS3" s="10">
        <v>0</v>
      </c>
    </row>
    <row r="4" spans="1:45" ht="23.25" hidden="1" customHeight="1">
      <c r="A4" s="728"/>
      <c r="B4" s="728"/>
      <c r="C4" s="728"/>
      <c r="D4" s="728"/>
      <c r="E4" s="1310"/>
      <c r="F4" s="1310"/>
      <c r="G4" s="1309">
        <v>1</v>
      </c>
      <c r="H4" s="728"/>
      <c r="I4" s="728"/>
      <c r="J4" s="728"/>
      <c r="K4" s="728"/>
      <c r="L4" s="751"/>
      <c r="M4" s="339"/>
      <c r="N4" s="339"/>
      <c r="O4" s="339"/>
      <c r="P4" s="203"/>
      <c r="Q4" s="201"/>
      <c r="R4" s="202"/>
      <c r="S4" s="706" t="e">
        <f>INDEX(PT_DIFFERENTIATION_NUM_CS,MATCH(C4,PT_DIFFERENTIATION_CS_ID,0))</f>
        <v>#N/A</v>
      </c>
      <c r="T4" s="175" t="s">
        <v>399</v>
      </c>
      <c r="U4" s="168"/>
      <c r="V4" s="1277"/>
      <c r="W4" s="1278"/>
      <c r="X4" s="1278"/>
      <c r="Y4" s="1278"/>
      <c r="Z4" s="1278"/>
      <c r="AA4" s="1278"/>
      <c r="AB4" s="1278"/>
      <c r="AC4" s="1279"/>
      <c r="AD4" s="1277" t="e">
        <f>INDEX(PT_DIFFERENTIATION_CS,MATCH(C4,PT_DIFFERENTIATION_CS_ID,0))</f>
        <v>#N/A</v>
      </c>
      <c r="AE4" s="1278"/>
      <c r="AF4" s="1278"/>
      <c r="AG4" s="1278"/>
      <c r="AH4" s="1278"/>
      <c r="AI4" s="1278"/>
      <c r="AJ4" s="1278"/>
      <c r="AK4" s="1278"/>
      <c r="AL4" s="1279"/>
      <c r="AM4" s="726" t="s">
        <v>400</v>
      </c>
      <c r="AO4" s="66"/>
      <c r="AP4" s="66" t="str">
        <f t="shared" si="0"/>
        <v xml:space="preserve">Наименование системы теплоснабжения </v>
      </c>
      <c r="AQ4" s="66"/>
      <c r="AR4" s="66"/>
      <c r="AS4" s="10">
        <v>0</v>
      </c>
    </row>
    <row r="5" spans="1:45" ht="21" hidden="1" customHeight="1">
      <c r="A5" s="728"/>
      <c r="B5" s="728"/>
      <c r="C5" s="728"/>
      <c r="D5" s="728"/>
      <c r="E5" s="1310"/>
      <c r="F5" s="1310"/>
      <c r="G5" s="1310"/>
      <c r="H5" s="1309">
        <v>1</v>
      </c>
      <c r="I5" s="728"/>
      <c r="J5" s="728"/>
      <c r="K5" s="728"/>
      <c r="L5" s="751"/>
      <c r="M5" s="339"/>
      <c r="N5" s="339"/>
      <c r="O5" s="339"/>
      <c r="P5" s="203"/>
      <c r="Q5" s="201"/>
      <c r="R5" s="202"/>
      <c r="S5" s="706" t="e">
        <f>INDEX(PT_DIFFERENTIATION_NUM_IST_TE,MATCH(D5,PT_DIFFERENTIATION_IST_TE_ID,0))</f>
        <v>#N/A</v>
      </c>
      <c r="T5" s="176" t="s">
        <v>401</v>
      </c>
      <c r="U5" s="168"/>
      <c r="V5" s="1277"/>
      <c r="W5" s="1278"/>
      <c r="X5" s="1278"/>
      <c r="Y5" s="1278"/>
      <c r="Z5" s="1278"/>
      <c r="AA5" s="1278"/>
      <c r="AB5" s="1278"/>
      <c r="AC5" s="1279"/>
      <c r="AD5" s="1277" t="e">
        <f>INDEX(PT_DIFFERENTIATION_IST_TE,MATCH(D5,PT_DIFFERENTIATION_IST_TE_ID,0))</f>
        <v>#N/A</v>
      </c>
      <c r="AE5" s="1278"/>
      <c r="AF5" s="1278"/>
      <c r="AG5" s="1278"/>
      <c r="AH5" s="1278"/>
      <c r="AI5" s="1278"/>
      <c r="AJ5" s="1278"/>
      <c r="AK5" s="1278"/>
      <c r="AL5" s="1279"/>
      <c r="AM5" s="726" t="s">
        <v>402</v>
      </c>
      <c r="AO5" s="66"/>
      <c r="AP5" s="66" t="str">
        <f t="shared" si="0"/>
        <v xml:space="preserve">Источник тепловой энергии  </v>
      </c>
      <c r="AQ5" s="66"/>
      <c r="AR5" s="66"/>
      <c r="AS5" s="10">
        <v>0</v>
      </c>
    </row>
    <row r="6" spans="1:45" ht="47.25" hidden="1" customHeight="1">
      <c r="A6" s="728"/>
      <c r="B6" s="728"/>
      <c r="C6" s="728"/>
      <c r="D6" s="728"/>
      <c r="E6" s="1310"/>
      <c r="F6" s="1310"/>
      <c r="G6" s="1310"/>
      <c r="H6" s="1310"/>
      <c r="I6" s="1146" t="e">
        <f>S5&amp;".1"</f>
        <v>#N/A</v>
      </c>
      <c r="J6" s="728"/>
      <c r="K6" s="728"/>
      <c r="L6" s="751" t="s">
        <v>403</v>
      </c>
      <c r="M6" s="10"/>
      <c r="P6" s="1287">
        <v>1</v>
      </c>
      <c r="Q6" s="119"/>
      <c r="R6" s="205"/>
      <c r="S6" s="706" t="e">
        <f>$I6</f>
        <v>#N/A</v>
      </c>
      <c r="T6" s="161" t="s">
        <v>404</v>
      </c>
      <c r="U6" s="168"/>
      <c r="V6" s="1271"/>
      <c r="W6" s="1272"/>
      <c r="X6" s="1272"/>
      <c r="Y6" s="1272"/>
      <c r="Z6" s="1272"/>
      <c r="AA6" s="1272"/>
      <c r="AB6" s="1272"/>
      <c r="AC6" s="1273"/>
      <c r="AD6" s="1271"/>
      <c r="AE6" s="1272"/>
      <c r="AF6" s="1272"/>
      <c r="AG6" s="1272"/>
      <c r="AH6" s="1272"/>
      <c r="AI6" s="1272"/>
      <c r="AJ6" s="1272"/>
      <c r="AK6" s="1272"/>
      <c r="AL6" s="1273"/>
      <c r="AM6" s="726" t="s">
        <v>405</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28"/>
      <c r="B7" s="728"/>
      <c r="C7" s="728"/>
      <c r="D7" s="728"/>
      <c r="E7" s="1310"/>
      <c r="F7" s="1310"/>
      <c r="G7" s="1310"/>
      <c r="H7" s="1310"/>
      <c r="I7" s="1128"/>
      <c r="J7" s="1146" t="e">
        <f>I6&amp;".1"</f>
        <v>#N/A</v>
      </c>
      <c r="K7" s="728"/>
      <c r="L7" s="751" t="s">
        <v>406</v>
      </c>
      <c r="M7" s="10"/>
      <c r="N7" s="10"/>
      <c r="P7" s="1287"/>
      <c r="Q7" s="1287">
        <v>1</v>
      </c>
      <c r="R7" s="206"/>
      <c r="S7" s="706" t="e">
        <f>$J7</f>
        <v>#N/A</v>
      </c>
      <c r="T7" s="162" t="s">
        <v>407</v>
      </c>
      <c r="U7" s="168"/>
      <c r="V7" s="1271"/>
      <c r="W7" s="1272"/>
      <c r="X7" s="1272"/>
      <c r="Y7" s="1272"/>
      <c r="Z7" s="1272"/>
      <c r="AA7" s="1272"/>
      <c r="AB7" s="1272"/>
      <c r="AC7" s="1273"/>
      <c r="AD7" s="1271"/>
      <c r="AE7" s="1272"/>
      <c r="AF7" s="1272"/>
      <c r="AG7" s="1272"/>
      <c r="AH7" s="1272"/>
      <c r="AI7" s="1272"/>
      <c r="AJ7" s="1272"/>
      <c r="AK7" s="1272"/>
      <c r="AL7" s="1273"/>
      <c r="AM7" s="726" t="s">
        <v>408</v>
      </c>
      <c r="AO7" s="66"/>
      <c r="AP7" s="66" t="str">
        <f t="shared" si="0"/>
        <v>Группа потребителей</v>
      </c>
      <c r="AQ7" s="66"/>
      <c r="AR7" s="66"/>
      <c r="AS7" s="10">
        <v>0</v>
      </c>
    </row>
    <row r="8" spans="1:45" ht="21" hidden="1" customHeight="1">
      <c r="A8" s="728"/>
      <c r="B8" s="728"/>
      <c r="C8" s="728"/>
      <c r="D8" s="728"/>
      <c r="E8" s="1310"/>
      <c r="F8" s="1310"/>
      <c r="G8" s="1310"/>
      <c r="H8" s="1310"/>
      <c r="I8" s="1128"/>
      <c r="J8" s="1128"/>
      <c r="K8" s="1146" t="e">
        <f>J7&amp;".1"</f>
        <v>#N/A</v>
      </c>
      <c r="L8" s="751" t="s">
        <v>409</v>
      </c>
      <c r="M8" s="10"/>
      <c r="N8" s="10"/>
      <c r="O8" s="10"/>
      <c r="P8" s="1287"/>
      <c r="Q8" s="1287"/>
      <c r="R8" s="206">
        <v>1</v>
      </c>
      <c r="S8" s="706" t="e">
        <f>$K8</f>
        <v>#N/A</v>
      </c>
      <c r="T8" s="762"/>
      <c r="U8" s="168"/>
      <c r="V8" s="303"/>
      <c r="W8" s="188"/>
      <c r="X8" s="303"/>
      <c r="Y8" s="725"/>
      <c r="Z8" s="1288"/>
      <c r="AA8" s="1156" t="s">
        <v>64</v>
      </c>
      <c r="AB8" s="1288"/>
      <c r="AC8" s="1156" t="s">
        <v>64</v>
      </c>
      <c r="AD8" s="303"/>
      <c r="AE8" s="188"/>
      <c r="AF8" s="303"/>
      <c r="AG8" s="725"/>
      <c r="AH8" s="1288"/>
      <c r="AI8" s="1156" t="s">
        <v>64</v>
      </c>
      <c r="AJ8" s="1288"/>
      <c r="AK8" s="1156" t="s">
        <v>64</v>
      </c>
      <c r="AL8" s="188"/>
      <c r="AM8" s="1306" t="s">
        <v>410</v>
      </c>
      <c r="AN8" s="65" t="e">
        <f ca="1">STRCHECKDATE(V9:AL9)</f>
        <v>#NAME?</v>
      </c>
      <c r="AO8" s="66"/>
      <c r="AP8" s="66" t="str">
        <f t="shared" si="0"/>
        <v/>
      </c>
      <c r="AQ8" s="66"/>
      <c r="AR8" s="66"/>
      <c r="AS8" s="10">
        <v>0</v>
      </c>
    </row>
    <row r="9" spans="1:45" ht="0.75" hidden="1" customHeight="1">
      <c r="A9" s="728"/>
      <c r="B9" s="728"/>
      <c r="C9" s="728"/>
      <c r="D9" s="728"/>
      <c r="E9" s="1310"/>
      <c r="F9" s="1310"/>
      <c r="G9" s="1310"/>
      <c r="H9" s="1310"/>
      <c r="I9" s="1128"/>
      <c r="J9" s="1128"/>
      <c r="K9" s="1146"/>
      <c r="L9" s="751"/>
      <c r="M9" s="10"/>
      <c r="N9" s="10"/>
      <c r="O9" s="10"/>
      <c r="P9" s="1287"/>
      <c r="Q9" s="1287"/>
      <c r="R9" s="206"/>
      <c r="S9" s="62"/>
      <c r="T9" s="168"/>
      <c r="U9" s="168"/>
      <c r="V9" s="188"/>
      <c r="W9" s="188"/>
      <c r="X9" s="188"/>
      <c r="Y9" s="189" t="str">
        <f>Z8&amp;"-"&amp;AB8</f>
        <v>-</v>
      </c>
      <c r="Z9" s="1289"/>
      <c r="AA9" s="1156"/>
      <c r="AB9" s="1289"/>
      <c r="AC9" s="1156"/>
      <c r="AD9" s="188"/>
      <c r="AE9" s="188"/>
      <c r="AF9" s="188"/>
      <c r="AG9" s="189" t="str">
        <f>AH8&amp;"-"&amp;AJ8</f>
        <v>-</v>
      </c>
      <c r="AH9" s="1289"/>
      <c r="AI9" s="1156"/>
      <c r="AJ9" s="1289"/>
      <c r="AK9" s="1156"/>
      <c r="AL9" s="188"/>
      <c r="AM9" s="1307"/>
      <c r="AO9" s="66"/>
      <c r="AP9" s="66" t="str">
        <f t="shared" si="0"/>
        <v/>
      </c>
      <c r="AQ9" s="66"/>
      <c r="AR9" s="66"/>
      <c r="AS9" s="10">
        <v>0</v>
      </c>
    </row>
    <row r="10" spans="1:45" ht="15" hidden="1" customHeight="1">
      <c r="A10" s="728"/>
      <c r="B10" s="728"/>
      <c r="C10" s="728"/>
      <c r="D10" s="728"/>
      <c r="E10" s="1310"/>
      <c r="F10" s="1310"/>
      <c r="G10" s="1310"/>
      <c r="H10" s="1310"/>
      <c r="I10" s="1128"/>
      <c r="J10" s="1146"/>
      <c r="K10" s="728"/>
      <c r="L10" s="751"/>
      <c r="M10" s="10"/>
      <c r="N10" s="10"/>
      <c r="P10" s="1287"/>
      <c r="Q10" s="1287"/>
      <c r="R10" s="205"/>
      <c r="S10" s="739"/>
      <c r="T10" s="164" t="s">
        <v>411</v>
      </c>
      <c r="U10" s="210"/>
      <c r="V10" s="210"/>
      <c r="W10" s="210"/>
      <c r="X10" s="210"/>
      <c r="Y10" s="210"/>
      <c r="Z10" s="210"/>
      <c r="AA10" s="210"/>
      <c r="AB10" s="210"/>
      <c r="AC10" s="210"/>
      <c r="AD10" s="210"/>
      <c r="AE10" s="210"/>
      <c r="AF10" s="210"/>
      <c r="AG10" s="210"/>
      <c r="AH10" s="210"/>
      <c r="AI10" s="210"/>
      <c r="AJ10" s="210"/>
      <c r="AK10" s="210"/>
      <c r="AL10" s="187"/>
      <c r="AM10" s="1308"/>
      <c r="AO10" s="66"/>
      <c r="AP10" s="66" t="str">
        <f t="shared" si="0"/>
        <v>Добавить вид теплоносителя (параметры теплоносителя)</v>
      </c>
      <c r="AQ10" s="66"/>
      <c r="AR10" s="66"/>
      <c r="AS10" s="10">
        <v>0</v>
      </c>
    </row>
    <row r="11" spans="1:45" ht="15" hidden="1" customHeight="1">
      <c r="A11" s="728"/>
      <c r="B11" s="728"/>
      <c r="C11" s="728"/>
      <c r="D11" s="728"/>
      <c r="E11" s="1310"/>
      <c r="F11" s="1310"/>
      <c r="G11" s="1310"/>
      <c r="H11" s="1310"/>
      <c r="I11" s="1146"/>
      <c r="J11" s="728"/>
      <c r="K11" s="728"/>
      <c r="L11" s="751"/>
      <c r="M11" s="10"/>
      <c r="P11" s="1287"/>
      <c r="Q11" s="119"/>
      <c r="R11" s="205"/>
      <c r="S11" s="739"/>
      <c r="T11" s="163" t="s">
        <v>412</v>
      </c>
      <c r="U11" s="210"/>
      <c r="V11" s="210"/>
      <c r="W11" s="210"/>
      <c r="X11" s="210"/>
      <c r="Y11" s="210"/>
      <c r="Z11" s="210"/>
      <c r="AA11" s="210"/>
      <c r="AB11" s="210"/>
      <c r="AC11" s="209"/>
      <c r="AD11" s="210"/>
      <c r="AE11" s="210"/>
      <c r="AF11" s="210"/>
      <c r="AG11" s="210"/>
      <c r="AH11" s="210"/>
      <c r="AI11" s="210"/>
      <c r="AJ11" s="210"/>
      <c r="AK11" s="209"/>
      <c r="AL11" s="210"/>
      <c r="AM11" s="171"/>
      <c r="AO11" s="66"/>
      <c r="AP11" s="66" t="str">
        <f t="shared" si="0"/>
        <v>Добавить группу потребителей</v>
      </c>
      <c r="AQ11" s="66"/>
      <c r="AR11" s="66"/>
      <c r="AS11" s="10">
        <v>0</v>
      </c>
    </row>
    <row r="12" spans="1:45" ht="14.25" hidden="1" customHeight="1">
      <c r="A12" s="728"/>
      <c r="B12" s="728"/>
      <c r="C12" s="728"/>
      <c r="D12" s="728"/>
      <c r="E12" s="1310"/>
      <c r="F12" s="1310"/>
      <c r="G12" s="1310"/>
      <c r="H12" s="1309"/>
      <c r="I12" s="728"/>
      <c r="J12" s="728"/>
      <c r="K12" s="728"/>
      <c r="L12" s="751"/>
      <c r="M12" s="339"/>
      <c r="N12" s="339"/>
      <c r="O12" s="10"/>
      <c r="P12" s="33"/>
      <c r="Q12" s="213"/>
      <c r="R12" s="204"/>
      <c r="S12" s="739"/>
      <c r="T12" s="208" t="s">
        <v>413</v>
      </c>
      <c r="U12" s="210"/>
      <c r="V12" s="210"/>
      <c r="W12" s="210"/>
      <c r="X12" s="210"/>
      <c r="Y12" s="210"/>
      <c r="Z12" s="210"/>
      <c r="AA12" s="210"/>
      <c r="AB12" s="210"/>
      <c r="AC12" s="209"/>
      <c r="AD12" s="210"/>
      <c r="AE12" s="210"/>
      <c r="AF12" s="210"/>
      <c r="AG12" s="210"/>
      <c r="AH12" s="210"/>
      <c r="AI12" s="210"/>
      <c r="AJ12" s="210"/>
      <c r="AK12" s="209"/>
      <c r="AL12" s="210"/>
      <c r="AM12" s="171"/>
      <c r="AO12" s="66"/>
      <c r="AP12" s="66" t="str">
        <f t="shared" si="0"/>
        <v>Добавить схему подключения</v>
      </c>
      <c r="AQ12" s="66"/>
      <c r="AR12" s="66"/>
      <c r="AS12" s="10">
        <v>0</v>
      </c>
    </row>
    <row r="13" spans="1:45" s="65" customFormat="1" ht="0.75" hidden="1" customHeight="1">
      <c r="A13" s="771"/>
      <c r="B13" s="771"/>
      <c r="C13" s="771"/>
      <c r="D13" s="771"/>
      <c r="E13" s="1310"/>
      <c r="F13" s="1310"/>
      <c r="G13" s="1309"/>
      <c r="H13" s="771"/>
      <c r="I13" s="771"/>
      <c r="J13" s="771"/>
      <c r="K13" s="771"/>
      <c r="L13" s="772"/>
      <c r="M13" s="773"/>
      <c r="N13" s="773"/>
      <c r="O13" s="200"/>
      <c r="P13" s="101"/>
      <c r="Q13" s="752"/>
      <c r="R13" s="101"/>
      <c r="S13" s="753"/>
      <c r="T13" s="754" t="s">
        <v>414</v>
      </c>
      <c r="U13" s="755"/>
      <c r="V13" s="755"/>
      <c r="W13" s="755"/>
      <c r="X13" s="755"/>
      <c r="Y13" s="755"/>
      <c r="Z13" s="755"/>
      <c r="AA13" s="755"/>
      <c r="AB13" s="755"/>
      <c r="AC13" s="755"/>
      <c r="AD13" s="755"/>
      <c r="AE13" s="755"/>
      <c r="AF13" s="755"/>
      <c r="AG13" s="755"/>
      <c r="AH13" s="755"/>
      <c r="AI13" s="755"/>
      <c r="AJ13" s="755"/>
      <c r="AK13" s="755"/>
      <c r="AL13" s="755"/>
      <c r="AM13" s="755"/>
      <c r="AO13" s="66"/>
      <c r="AP13" s="66" t="str">
        <f t="shared" si="0"/>
        <v>Добавить источник для дифференциации</v>
      </c>
      <c r="AQ13" s="66"/>
      <c r="AR13" s="66"/>
      <c r="AS13" s="65">
        <v>0</v>
      </c>
    </row>
    <row r="14" spans="1:45" s="65" customFormat="1" ht="0.75" hidden="1" customHeight="1">
      <c r="A14" s="771"/>
      <c r="B14" s="771"/>
      <c r="C14" s="771"/>
      <c r="D14" s="771"/>
      <c r="E14" s="1310"/>
      <c r="F14" s="1309"/>
      <c r="G14" s="771"/>
      <c r="H14" s="771"/>
      <c r="I14" s="771"/>
      <c r="J14" s="771"/>
      <c r="K14" s="771"/>
      <c r="L14" s="772"/>
      <c r="M14" s="774"/>
      <c r="N14" s="774"/>
      <c r="O14" s="200"/>
      <c r="P14" s="101"/>
      <c r="Q14" s="752"/>
      <c r="R14" s="101"/>
      <c r="S14" s="757"/>
      <c r="T14" s="758" t="s">
        <v>231</v>
      </c>
      <c r="U14" s="310"/>
      <c r="V14" s="310"/>
      <c r="W14" s="310"/>
      <c r="X14" s="310"/>
      <c r="Y14" s="310"/>
      <c r="Z14" s="310"/>
      <c r="AA14" s="310"/>
      <c r="AB14" s="310"/>
      <c r="AC14" s="310"/>
      <c r="AD14" s="310"/>
      <c r="AE14" s="310"/>
      <c r="AF14" s="310"/>
      <c r="AG14" s="310"/>
      <c r="AH14" s="310"/>
      <c r="AI14" s="310"/>
      <c r="AJ14" s="310"/>
      <c r="AK14" s="310"/>
      <c r="AL14" s="310"/>
      <c r="AM14" s="310"/>
      <c r="AO14" s="66"/>
      <c r="AP14" s="66" t="str">
        <f t="shared" si="0"/>
        <v>Добавить централизованную систему для дифференциации</v>
      </c>
      <c r="AQ14" s="66"/>
      <c r="AR14" s="66"/>
      <c r="AS14" s="65">
        <v>0</v>
      </c>
    </row>
    <row r="15" spans="1:45" s="65" customFormat="1" ht="0.75" hidden="1" customHeight="1">
      <c r="A15" s="771"/>
      <c r="B15" s="771"/>
      <c r="C15" s="771"/>
      <c r="D15" s="771"/>
      <c r="E15" s="1309"/>
      <c r="F15" s="771"/>
      <c r="G15" s="771"/>
      <c r="H15" s="771"/>
      <c r="I15" s="771"/>
      <c r="J15" s="771"/>
      <c r="K15" s="771"/>
      <c r="L15" s="772"/>
      <c r="M15" s="774"/>
      <c r="N15" s="774"/>
      <c r="O15" s="200"/>
      <c r="P15" s="101"/>
      <c r="Q15" s="752"/>
      <c r="R15" s="101"/>
      <c r="S15" s="757"/>
      <c r="T15" s="759" t="s">
        <v>232</v>
      </c>
      <c r="U15" s="310"/>
      <c r="V15" s="310"/>
      <c r="W15" s="310"/>
      <c r="X15" s="310"/>
      <c r="Y15" s="310"/>
      <c r="Z15" s="310"/>
      <c r="AA15" s="310"/>
      <c r="AB15" s="310"/>
      <c r="AC15" s="310"/>
      <c r="AD15" s="310"/>
      <c r="AE15" s="310"/>
      <c r="AF15" s="310"/>
      <c r="AG15" s="310"/>
      <c r="AH15" s="310"/>
      <c r="AI15" s="310"/>
      <c r="AJ15" s="310"/>
      <c r="AK15" s="310"/>
      <c r="AL15" s="310"/>
      <c r="AM15" s="310"/>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5"/>
      <c r="AE17" s="365"/>
      <c r="AF17" s="365"/>
      <c r="AG17" s="765"/>
      <c r="AH17" s="1281"/>
      <c r="AI17" s="1280" t="s">
        <v>64</v>
      </c>
      <c r="AJ17" s="1281"/>
      <c r="AK17" s="1280" t="s">
        <v>64</v>
      </c>
      <c r="AS17" s="10">
        <v>0</v>
      </c>
    </row>
    <row r="18" spans="1:45" ht="14.25" hidden="1" customHeight="1">
      <c r="AD18" s="365"/>
      <c r="AE18" s="365"/>
      <c r="AF18" s="365"/>
      <c r="AG18" s="189" t="str">
        <f>AH17&amp;"-"&amp;AJ17</f>
        <v>-</v>
      </c>
      <c r="AH18" s="1280"/>
      <c r="AI18" s="1280"/>
      <c r="AJ18" s="1280"/>
      <c r="AK18" s="1280"/>
      <c r="AS18" s="10">
        <v>0</v>
      </c>
    </row>
    <row r="19" spans="1:45" ht="14.25" hidden="1" customHeight="1">
      <c r="AS19" s="10">
        <v>0</v>
      </c>
    </row>
    <row r="20" spans="1:45" s="60" customFormat="1" ht="14.25" hidden="1" customHeight="1">
      <c r="A20" s="10"/>
      <c r="B20" s="10"/>
      <c r="C20" s="10"/>
      <c r="D20" s="10"/>
      <c r="E20" s="10"/>
      <c r="F20" s="10"/>
      <c r="G20" s="10"/>
      <c r="H20" s="10"/>
      <c r="I20" s="10"/>
      <c r="J20" s="10"/>
      <c r="K20" s="10"/>
      <c r="L20" s="56"/>
      <c r="M20" s="32"/>
      <c r="N20" s="32"/>
      <c r="O20" s="761" t="s">
        <v>415</v>
      </c>
      <c r="P20" s="503"/>
      <c r="Q20" s="769"/>
      <c r="R20" s="769"/>
      <c r="S20" s="423"/>
      <c r="Z20" s="768"/>
      <c r="AB20" s="768"/>
      <c r="AH20" s="768"/>
      <c r="AJ20" s="768"/>
      <c r="AN20" s="65"/>
      <c r="AO20" s="65"/>
      <c r="AP20" s="65"/>
      <c r="AQ20" s="65"/>
      <c r="AR20" s="65"/>
      <c r="AS20" s="60">
        <v>0</v>
      </c>
    </row>
    <row r="21" spans="1:45" s="60" customFormat="1" ht="14.25" hidden="1" customHeight="1">
      <c r="A21" s="10"/>
      <c r="B21" s="10"/>
      <c r="C21" s="10"/>
      <c r="D21" s="10"/>
      <c r="E21" s="10"/>
      <c r="F21" s="10"/>
      <c r="G21" s="10"/>
      <c r="H21" s="10"/>
      <c r="I21" s="10"/>
      <c r="J21" s="10"/>
      <c r="K21" s="10"/>
      <c r="L21" s="56"/>
      <c r="M21" s="32"/>
      <c r="N21" s="32"/>
      <c r="O21" s="32"/>
      <c r="P21" s="503"/>
      <c r="Q21" s="769"/>
      <c r="R21" s="769"/>
      <c r="S21" s="423"/>
      <c r="AN21" s="65"/>
      <c r="AO21" s="65"/>
      <c r="AP21" s="65"/>
      <c r="AQ21" s="65"/>
      <c r="AR21" s="65"/>
      <c r="AS21" s="60">
        <v>0</v>
      </c>
    </row>
    <row r="22" spans="1:45" s="60" customFormat="1" ht="14.25" hidden="1" customHeight="1">
      <c r="A22" s="10"/>
      <c r="B22" s="10"/>
      <c r="C22" s="10"/>
      <c r="D22" s="10"/>
      <c r="E22" s="10"/>
      <c r="F22" s="10"/>
      <c r="G22" s="10"/>
      <c r="H22" s="10"/>
      <c r="I22" s="10"/>
      <c r="J22" s="10"/>
      <c r="K22" s="10"/>
      <c r="L22" s="56"/>
      <c r="M22" s="32"/>
      <c r="N22" s="32"/>
      <c r="O22" s="751" t="s">
        <v>416</v>
      </c>
      <c r="P22" s="503"/>
      <c r="Q22" s="769"/>
      <c r="R22" s="769"/>
      <c r="S22" s="423"/>
      <c r="T22" s="60" t="s">
        <v>417</v>
      </c>
      <c r="AA22" s="79" t="s">
        <v>418</v>
      </c>
      <c r="AC22" s="79" t="s">
        <v>419</v>
      </c>
      <c r="AD22" s="60" t="s">
        <v>417</v>
      </c>
      <c r="AI22" s="79" t="s">
        <v>420</v>
      </c>
      <c r="AK22" s="79" t="s">
        <v>419</v>
      </c>
      <c r="AN22" s="65"/>
      <c r="AO22" s="65"/>
      <c r="AP22" s="65"/>
      <c r="AQ22" s="65"/>
      <c r="AR22" s="65"/>
      <c r="AS22" s="60">
        <v>0</v>
      </c>
    </row>
    <row r="23" spans="1:45" ht="14.25" hidden="1" customHeight="1">
      <c r="O23" s="751"/>
      <c r="AS23" s="10">
        <v>0</v>
      </c>
    </row>
    <row r="24" spans="1:45" ht="14.25" hidden="1" customHeight="1">
      <c r="O24" s="751"/>
      <c r="AS24" s="10">
        <v>0</v>
      </c>
    </row>
    <row r="25" spans="1:45" ht="14.65" customHeight="1">
      <c r="Q25" s="27"/>
      <c r="R25" s="27"/>
      <c r="S25" s="736"/>
      <c r="T25" s="9"/>
      <c r="U25" s="9"/>
      <c r="AS25" s="10">
        <v>14</v>
      </c>
    </row>
    <row r="26" spans="1:45" ht="14.65" customHeight="1">
      <c r="Q26" s="27"/>
      <c r="R26" s="27"/>
      <c r="S26" s="1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4"/>
      <c r="U26" s="1264"/>
      <c r="V26" s="1264"/>
      <c r="W26" s="1264"/>
      <c r="X26" s="1264"/>
      <c r="Y26" s="1264"/>
      <c r="Z26" s="1264"/>
      <c r="AA26" s="1264"/>
      <c r="AB26" s="1264"/>
      <c r="AC26" s="1264"/>
      <c r="AD26" s="1264"/>
      <c r="AE26" s="1264"/>
      <c r="AF26" s="1264"/>
      <c r="AG26" s="1264"/>
      <c r="AH26" s="1264"/>
      <c r="AI26" s="1264"/>
      <c r="AJ26" s="1264"/>
      <c r="AK26" s="57"/>
      <c r="AS26" s="10">
        <v>14</v>
      </c>
    </row>
    <row r="27" spans="1:45" ht="14.65" customHeight="1">
      <c r="Q27" s="27"/>
      <c r="R27" s="27"/>
      <c r="S27" s="1236" t="str">
        <f>IF(org=0,"Не определено",org)</f>
        <v>Общество с ограниченной ответственностью "Березовский рудник"</v>
      </c>
      <c r="T27" s="1236"/>
      <c r="U27" s="1236"/>
      <c r="V27" s="1236"/>
      <c r="W27" s="1236"/>
      <c r="X27" s="1236"/>
      <c r="Y27" s="1236"/>
      <c r="Z27" s="1236"/>
      <c r="AA27" s="1236"/>
      <c r="AB27" s="1236"/>
      <c r="AC27" s="1236"/>
      <c r="AD27" s="1236"/>
      <c r="AE27" s="1236"/>
      <c r="AF27" s="1236"/>
      <c r="AG27" s="1236"/>
      <c r="AH27" s="1236"/>
      <c r="AI27" s="1236"/>
      <c r="AJ27" s="1236"/>
      <c r="AK27" s="57"/>
      <c r="AS27" s="10">
        <v>14</v>
      </c>
    </row>
    <row r="28" spans="1:45" ht="14.25" hidden="1" customHeight="1">
      <c r="Q28" s="27"/>
      <c r="R28" s="27"/>
      <c r="S28" s="736"/>
      <c r="T28" s="9"/>
      <c r="U28" s="9"/>
      <c r="V28" s="186"/>
      <c r="W28" s="186"/>
      <c r="X28" s="186"/>
      <c r="Y28" s="186"/>
      <c r="Z28" s="186"/>
      <c r="AA28" s="186"/>
      <c r="AB28" s="186"/>
      <c r="AC28" s="186"/>
      <c r="AD28" s="186"/>
      <c r="AE28" s="186"/>
      <c r="AF28" s="186"/>
      <c r="AG28" s="186"/>
      <c r="AH28" s="186"/>
      <c r="AI28" s="186"/>
      <c r="AJ28" s="186"/>
      <c r="AK28" s="186"/>
      <c r="AS28" s="10">
        <v>0</v>
      </c>
    </row>
    <row r="29" spans="1:45" s="34" customFormat="1" ht="25.5" hidden="1" customHeight="1">
      <c r="A29" s="16"/>
      <c r="B29" s="16"/>
      <c r="C29" s="16"/>
      <c r="D29" s="16"/>
      <c r="E29" s="16"/>
      <c r="F29" s="16"/>
      <c r="G29" s="16"/>
      <c r="H29" s="16"/>
      <c r="I29" s="16"/>
      <c r="J29" s="16"/>
      <c r="K29" s="16"/>
      <c r="L29" s="751"/>
      <c r="M29" s="16"/>
      <c r="N29" s="16"/>
      <c r="O29" s="16"/>
      <c r="S29" s="1274" t="s">
        <v>41</v>
      </c>
      <c r="T29" s="1274"/>
      <c r="U29" s="770"/>
      <c r="V29" s="1276" t="str">
        <f>IF(TITLE_NAME_OR_PR_CHANGE="",IF(TITLE_NAME_OR_PR="","",TITLE_NAME_OR_PR),TITLE_NAME_OR_PR_CHANGE)</f>
        <v/>
      </c>
      <c r="W29" s="1276"/>
      <c r="X29" s="1276"/>
      <c r="Y29" s="1276"/>
      <c r="Z29" s="1276"/>
      <c r="AA29" s="1276"/>
      <c r="AB29" s="1276"/>
      <c r="AC29" s="10"/>
      <c r="AD29" s="1276" t="str">
        <f>IF(TITLE_NAME_OR_PR_CHANGE="",IF(TITLE_NAME_OR_PR="","",TITLE_NAME_OR_PR),TITLE_NAME_OR_PR_CHANGE)</f>
        <v/>
      </c>
      <c r="AE29" s="1276"/>
      <c r="AF29" s="1276"/>
      <c r="AG29" s="1276"/>
      <c r="AH29" s="1276"/>
      <c r="AI29" s="1276"/>
      <c r="AJ29" s="1276"/>
      <c r="AK29" s="10"/>
      <c r="AL29" s="10"/>
      <c r="AM29" s="160"/>
      <c r="AN29" s="66"/>
      <c r="AO29" s="66"/>
      <c r="AP29" s="66"/>
      <c r="AQ29" s="66"/>
      <c r="AR29" s="66"/>
      <c r="AS29" s="34">
        <v>0</v>
      </c>
    </row>
    <row r="30" spans="1:45" s="34" customFormat="1" ht="18.75" hidden="1" customHeight="1">
      <c r="A30" s="16"/>
      <c r="B30" s="16"/>
      <c r="C30" s="16"/>
      <c r="D30" s="16"/>
      <c r="E30" s="16"/>
      <c r="F30" s="16"/>
      <c r="G30" s="16"/>
      <c r="H30" s="16"/>
      <c r="I30" s="16"/>
      <c r="J30" s="16"/>
      <c r="K30" s="16"/>
      <c r="L30" s="751"/>
      <c r="M30" s="16"/>
      <c r="N30" s="16"/>
      <c r="O30" s="16"/>
      <c r="S30" s="1274" t="s">
        <v>421</v>
      </c>
      <c r="T30" s="1274"/>
      <c r="U30" s="770"/>
      <c r="V30" s="1275">
        <f>IF(TITLE_DATE_PR_CHANGE="",IF(TITLE_DATE_PR="","",TITLE_DATE_PR),TITLE_DATE_PR_CHANGE)</f>
        <v>45805</v>
      </c>
      <c r="W30" s="1275"/>
      <c r="X30" s="1275"/>
      <c r="Y30" s="1275"/>
      <c r="Z30" s="1275"/>
      <c r="AA30" s="1275"/>
      <c r="AB30" s="1275"/>
      <c r="AC30" s="10"/>
      <c r="AD30" s="1275">
        <f>IF(TITLE_DATE_PR_CHANGE="",IF(TITLE_DATE_PR="","",TITLE_DATE_PR),TITLE_DATE_PR_CHANGE)</f>
        <v>45805</v>
      </c>
      <c r="AE30" s="1275"/>
      <c r="AF30" s="1275"/>
      <c r="AG30" s="1275"/>
      <c r="AH30" s="1275"/>
      <c r="AI30" s="1275"/>
      <c r="AJ30" s="1275"/>
      <c r="AK30" s="10"/>
      <c r="AL30" s="10"/>
      <c r="AM30" s="160"/>
      <c r="AN30" s="66"/>
      <c r="AO30" s="66"/>
      <c r="AP30" s="66"/>
      <c r="AQ30" s="66"/>
      <c r="AR30" s="66"/>
      <c r="AS30" s="34">
        <v>0</v>
      </c>
    </row>
    <row r="31" spans="1:45" s="34" customFormat="1" ht="18.75" hidden="1" customHeight="1">
      <c r="A31" s="16"/>
      <c r="B31" s="16"/>
      <c r="C31" s="16"/>
      <c r="D31" s="16"/>
      <c r="E31" s="16"/>
      <c r="F31" s="16"/>
      <c r="G31" s="16"/>
      <c r="H31" s="16"/>
      <c r="I31" s="16"/>
      <c r="J31" s="16"/>
      <c r="K31" s="16"/>
      <c r="L31" s="751"/>
      <c r="M31" s="16"/>
      <c r="N31" s="16"/>
      <c r="O31" s="16"/>
      <c r="S31" s="1274" t="s">
        <v>422</v>
      </c>
      <c r="T31" s="1274"/>
      <c r="U31" s="770"/>
      <c r="V31" s="1276" t="str">
        <f>IF(TITLE_NUMBER_PR_CHANGE="",IF(TITLE_NUMBER_PR="","",TITLE_NUMBER_PR),TITLE_NUMBER_PR_CHANGE)</f>
        <v>2496</v>
      </c>
      <c r="W31" s="1276"/>
      <c r="X31" s="1276"/>
      <c r="Y31" s="1276"/>
      <c r="Z31" s="1276"/>
      <c r="AA31" s="1276"/>
      <c r="AB31" s="1276"/>
      <c r="AC31" s="10"/>
      <c r="AD31" s="1276" t="str">
        <f>IF(TITLE_NUMBER_PR_CHANGE="",IF(TITLE_NUMBER_PR="","",TITLE_NUMBER_PR),TITLE_NUMBER_PR_CHANGE)</f>
        <v>2496</v>
      </c>
      <c r="AE31" s="1276"/>
      <c r="AF31" s="1276"/>
      <c r="AG31" s="1276"/>
      <c r="AH31" s="1276"/>
      <c r="AI31" s="1276"/>
      <c r="AJ31" s="1276"/>
      <c r="AK31" s="10"/>
      <c r="AL31" s="10"/>
      <c r="AM31" s="160"/>
      <c r="AN31" s="66"/>
      <c r="AO31" s="66"/>
      <c r="AP31" s="66"/>
      <c r="AQ31" s="66"/>
      <c r="AR31" s="66"/>
      <c r="AS31" s="34">
        <v>0</v>
      </c>
    </row>
    <row r="32" spans="1:45" s="34" customFormat="1" ht="18.75" hidden="1" customHeight="1">
      <c r="A32" s="16"/>
      <c r="B32" s="16"/>
      <c r="C32" s="16"/>
      <c r="D32" s="16"/>
      <c r="E32" s="16"/>
      <c r="F32" s="16"/>
      <c r="G32" s="16"/>
      <c r="H32" s="16"/>
      <c r="I32" s="16"/>
      <c r="J32" s="16"/>
      <c r="K32" s="16"/>
      <c r="L32" s="751"/>
      <c r="M32" s="16"/>
      <c r="N32" s="16"/>
      <c r="O32" s="16"/>
      <c r="S32" s="1274" t="s">
        <v>42</v>
      </c>
      <c r="T32" s="1274"/>
      <c r="U32" s="770"/>
      <c r="V32" s="1276" t="str">
        <f>IF(TITLE_IST_PUB_CHANGE="",IF(TITLE_IST_PUB="","",TITLE_IST_PUB),TITLE_IST_PUB_CHANGE)</f>
        <v/>
      </c>
      <c r="W32" s="1276"/>
      <c r="X32" s="1276"/>
      <c r="Y32" s="1276"/>
      <c r="Z32" s="1276"/>
      <c r="AA32" s="1276"/>
      <c r="AB32" s="1276"/>
      <c r="AC32" s="10"/>
      <c r="AD32" s="1276" t="str">
        <f>IF(TITLE_IST_PUB_CHANGE="",IF(TITLE_IST_PUB="","",TITLE_IST_PUB),TITLE_IST_PUB_CHANGE)</f>
        <v/>
      </c>
      <c r="AE32" s="1276"/>
      <c r="AF32" s="1276"/>
      <c r="AG32" s="1276"/>
      <c r="AH32" s="1276"/>
      <c r="AI32" s="1276"/>
      <c r="AJ32" s="1276"/>
      <c r="AK32" s="10"/>
      <c r="AL32" s="10"/>
      <c r="AM32" s="160"/>
      <c r="AN32" s="66"/>
      <c r="AO32" s="66"/>
      <c r="AP32" s="66"/>
      <c r="AQ32" s="66"/>
      <c r="AR32" s="66"/>
      <c r="AS32" s="34">
        <v>0</v>
      </c>
    </row>
    <row r="33" spans="1:45" ht="14.25" hidden="1" customHeight="1">
      <c r="Q33" s="27"/>
      <c r="R33" s="27"/>
      <c r="S33" s="736"/>
      <c r="T33" s="9"/>
      <c r="U33" s="9"/>
      <c r="V33" s="186"/>
      <c r="W33" s="186"/>
      <c r="X33" s="186"/>
      <c r="Y33" s="186"/>
      <c r="Z33" s="186"/>
      <c r="AA33" s="186"/>
      <c r="AB33" s="186"/>
      <c r="AC33" s="186"/>
      <c r="AD33" s="186"/>
      <c r="AE33" s="186"/>
      <c r="AF33" s="186"/>
      <c r="AG33" s="186"/>
      <c r="AH33" s="186"/>
      <c r="AI33" s="186"/>
      <c r="AJ33" s="186"/>
      <c r="AK33" s="186"/>
      <c r="AS33" s="10">
        <v>0</v>
      </c>
    </row>
    <row r="34" spans="1:45" s="34" customFormat="1" ht="18.75" hidden="1" customHeight="1">
      <c r="A34" s="16"/>
      <c r="B34" s="16"/>
      <c r="C34" s="16"/>
      <c r="D34" s="16"/>
      <c r="E34" s="16"/>
      <c r="F34" s="16"/>
      <c r="G34" s="16"/>
      <c r="H34" s="16"/>
      <c r="I34" s="16"/>
      <c r="J34" s="16"/>
      <c r="K34" s="16"/>
      <c r="L34" s="751"/>
      <c r="M34" s="16"/>
      <c r="N34" s="16"/>
      <c r="O34" s="16"/>
      <c r="S34" s="1274" t="s">
        <v>423</v>
      </c>
      <c r="T34" s="1274"/>
      <c r="U34" s="770"/>
      <c r="V34" s="1275">
        <f>IF(TITLE_DATE_PR_CHANGE="",IF(TITLE_DATE_PR="","",TITLE_DATE_PR),TITLE_DATE_PR_CHANGE)</f>
        <v>45805</v>
      </c>
      <c r="W34" s="1275"/>
      <c r="X34" s="1275"/>
      <c r="Y34" s="1275"/>
      <c r="Z34" s="1275"/>
      <c r="AA34" s="1275"/>
      <c r="AB34" s="1275"/>
      <c r="AC34" s="10"/>
      <c r="AD34" s="1275">
        <f>IF(TITLE_DATE_PR_CHANGE="",IF(TITLE_DATE_PR="","",TITLE_DATE_PR),TITLE_DATE_PR_CHANGE)</f>
        <v>45805</v>
      </c>
      <c r="AE34" s="1275"/>
      <c r="AF34" s="1275"/>
      <c r="AG34" s="1275"/>
      <c r="AH34" s="1275"/>
      <c r="AI34" s="1275"/>
      <c r="AJ34" s="1275"/>
      <c r="AK34" s="10"/>
      <c r="AL34" s="10"/>
      <c r="AM34" s="160"/>
      <c r="AN34" s="66"/>
      <c r="AO34" s="66"/>
      <c r="AP34" s="66"/>
      <c r="AQ34" s="66"/>
      <c r="AR34" s="66"/>
      <c r="AS34" s="34">
        <v>0</v>
      </c>
    </row>
    <row r="35" spans="1:45" s="34" customFormat="1" ht="18.75" hidden="1" customHeight="1">
      <c r="A35" s="16"/>
      <c r="B35" s="16"/>
      <c r="C35" s="16"/>
      <c r="D35" s="16"/>
      <c r="E35" s="16"/>
      <c r="F35" s="16"/>
      <c r="G35" s="16"/>
      <c r="H35" s="16"/>
      <c r="I35" s="16"/>
      <c r="J35" s="16"/>
      <c r="K35" s="16"/>
      <c r="L35" s="751"/>
      <c r="M35" s="16"/>
      <c r="N35" s="16"/>
      <c r="O35" s="16"/>
      <c r="S35" s="1274" t="s">
        <v>424</v>
      </c>
      <c r="T35" s="1274"/>
      <c r="U35" s="770"/>
      <c r="V35" s="1276" t="str">
        <f>IF(TITLE_NUMBER_PR_CHANGE="",IF(TITLE_NUMBER_PR="","",TITLE_NUMBER_PR),TITLE_NUMBER_PR_CHANGE)</f>
        <v>2496</v>
      </c>
      <c r="W35" s="1276"/>
      <c r="X35" s="1276"/>
      <c r="Y35" s="1276"/>
      <c r="Z35" s="1276"/>
      <c r="AA35" s="1276"/>
      <c r="AB35" s="1276"/>
      <c r="AC35" s="10"/>
      <c r="AD35" s="1276" t="str">
        <f>IF(TITLE_NUMBER_PR_CHANGE="",IF(TITLE_NUMBER_PR="","",TITLE_NUMBER_PR),TITLE_NUMBER_PR_CHANGE)</f>
        <v>2496</v>
      </c>
      <c r="AE35" s="1276"/>
      <c r="AF35" s="1276"/>
      <c r="AG35" s="1276"/>
      <c r="AH35" s="1276"/>
      <c r="AI35" s="1276"/>
      <c r="AJ35" s="1276"/>
      <c r="AK35" s="10"/>
      <c r="AL35" s="10"/>
      <c r="AM35" s="160"/>
      <c r="AN35" s="66"/>
      <c r="AO35" s="66"/>
      <c r="AP35" s="66"/>
      <c r="AQ35" s="66"/>
      <c r="AR35" s="66"/>
      <c r="AS35" s="34">
        <v>0</v>
      </c>
    </row>
    <row r="36" spans="1:45" s="34" customFormat="1" ht="0" hidden="1" customHeight="1">
      <c r="A36" s="16"/>
      <c r="B36" s="16"/>
      <c r="C36" s="16"/>
      <c r="D36" s="16"/>
      <c r="E36" s="16"/>
      <c r="F36" s="16"/>
      <c r="G36" s="16"/>
      <c r="H36" s="16"/>
      <c r="I36" s="16"/>
      <c r="J36" s="16"/>
      <c r="K36" s="16"/>
      <c r="L36" s="751"/>
      <c r="M36" s="16"/>
      <c r="N36" s="16"/>
      <c r="O36" s="16"/>
      <c r="S36" s="10"/>
      <c r="T36" s="10"/>
      <c r="U36" s="75"/>
      <c r="V36" s="10"/>
      <c r="W36" s="10"/>
      <c r="X36" s="10"/>
      <c r="Y36" s="10"/>
      <c r="Z36" s="10"/>
      <c r="AA36" s="10"/>
      <c r="AB36" s="10"/>
      <c r="AC36" s="65" t="s">
        <v>425</v>
      </c>
      <c r="AD36" s="10"/>
      <c r="AE36" s="10"/>
      <c r="AF36" s="10"/>
      <c r="AG36" s="10"/>
      <c r="AH36" s="10"/>
      <c r="AI36" s="10"/>
      <c r="AJ36" s="10"/>
      <c r="AK36" s="65" t="s">
        <v>425</v>
      </c>
      <c r="AN36" s="66"/>
      <c r="AO36" s="66"/>
      <c r="AP36" s="66"/>
      <c r="AQ36" s="66"/>
      <c r="AR36" s="66"/>
      <c r="AS36" s="34">
        <v>0</v>
      </c>
    </row>
    <row r="37" spans="1:45" ht="14.65" customHeight="1">
      <c r="Q37" s="27"/>
      <c r="R37" s="27"/>
      <c r="S37" s="736"/>
      <c r="T37" s="9"/>
      <c r="U37" s="717"/>
      <c r="V37" s="1295"/>
      <c r="W37" s="1295"/>
      <c r="X37" s="1295"/>
      <c r="Y37" s="1295"/>
      <c r="Z37" s="1295"/>
      <c r="AA37" s="1295"/>
      <c r="AB37" s="1295"/>
      <c r="AC37" s="1295"/>
      <c r="AD37" s="1295"/>
      <c r="AE37" s="1295"/>
      <c r="AF37" s="1295"/>
      <c r="AG37" s="1295"/>
      <c r="AH37" s="1295"/>
      <c r="AI37" s="1295"/>
      <c r="AJ37" s="1295"/>
      <c r="AK37" s="1295"/>
      <c r="AS37" s="10">
        <v>14</v>
      </c>
    </row>
    <row r="38" spans="1:45" ht="14.65" customHeight="1">
      <c r="Q38" s="27"/>
      <c r="R38" s="27"/>
      <c r="S38" s="1146" t="s">
        <v>300</v>
      </c>
      <c r="T38" s="1146"/>
      <c r="U38" s="1146"/>
      <c r="V38" s="1146"/>
      <c r="W38" s="1146"/>
      <c r="X38" s="1146"/>
      <c r="Y38" s="1146"/>
      <c r="Z38" s="1146"/>
      <c r="AA38" s="1146"/>
      <c r="AB38" s="1146"/>
      <c r="AC38" s="1146"/>
      <c r="AD38" s="1146"/>
      <c r="AE38" s="1146"/>
      <c r="AF38" s="1146"/>
      <c r="AG38" s="1146"/>
      <c r="AH38" s="1146"/>
      <c r="AI38" s="1146"/>
      <c r="AJ38" s="1146"/>
      <c r="AK38" s="1146"/>
      <c r="AL38" s="1146"/>
      <c r="AM38" s="1146" t="s">
        <v>301</v>
      </c>
      <c r="AS38" s="10">
        <v>14</v>
      </c>
    </row>
    <row r="39" spans="1:45" ht="14.65" customHeight="1">
      <c r="Q39" s="27"/>
      <c r="R39" s="27"/>
      <c r="S39" s="1296" t="s">
        <v>86</v>
      </c>
      <c r="T39" s="1244" t="s">
        <v>426</v>
      </c>
      <c r="U39" s="169"/>
      <c r="V39" s="1297" t="s">
        <v>427</v>
      </c>
      <c r="W39" s="1298"/>
      <c r="X39" s="1298"/>
      <c r="Y39" s="1298"/>
      <c r="Z39" s="1298"/>
      <c r="AA39" s="1298"/>
      <c r="AB39" s="1299"/>
      <c r="AC39" s="1300" t="s">
        <v>428</v>
      </c>
      <c r="AD39" s="1297" t="s">
        <v>427</v>
      </c>
      <c r="AE39" s="1298"/>
      <c r="AF39" s="1298"/>
      <c r="AG39" s="1298"/>
      <c r="AH39" s="1298"/>
      <c r="AI39" s="1298"/>
      <c r="AJ39" s="1299"/>
      <c r="AK39" s="1300" t="s">
        <v>429</v>
      </c>
      <c r="AL39" s="1303" t="s">
        <v>430</v>
      </c>
      <c r="AM39" s="1146"/>
      <c r="AS39" s="10">
        <v>14</v>
      </c>
    </row>
    <row r="40" spans="1:45" ht="35.65" customHeight="1">
      <c r="Q40" s="27"/>
      <c r="R40" s="27"/>
      <c r="S40" s="1296"/>
      <c r="T40" s="1244"/>
      <c r="U40" s="604"/>
      <c r="V40" s="1216" t="s">
        <v>431</v>
      </c>
      <c r="W40" s="1292" t="s">
        <v>432</v>
      </c>
      <c r="X40" s="1128" t="s">
        <v>433</v>
      </c>
      <c r="Y40" s="1127"/>
      <c r="Z40" s="1128" t="s">
        <v>446</v>
      </c>
      <c r="AA40" s="1133"/>
      <c r="AB40" s="1127"/>
      <c r="AC40" s="1301"/>
      <c r="AD40" s="1216" t="s">
        <v>431</v>
      </c>
      <c r="AE40" s="1292" t="s">
        <v>432</v>
      </c>
      <c r="AF40" s="1128" t="s">
        <v>433</v>
      </c>
      <c r="AG40" s="1127"/>
      <c r="AH40" s="1128" t="s">
        <v>434</v>
      </c>
      <c r="AI40" s="1133"/>
      <c r="AJ40" s="1127"/>
      <c r="AK40" s="1301"/>
      <c r="AL40" s="1304"/>
      <c r="AM40" s="1146"/>
      <c r="AS40" s="10">
        <v>34</v>
      </c>
    </row>
    <row r="41" spans="1:45" ht="35.65" customHeight="1">
      <c r="A41" s="16"/>
      <c r="B41" s="16" t="s">
        <v>133</v>
      </c>
      <c r="C41" s="16" t="s">
        <v>134</v>
      </c>
      <c r="D41" s="16" t="s">
        <v>135</v>
      </c>
      <c r="E41" s="751" t="s">
        <v>435</v>
      </c>
      <c r="F41" s="751" t="s">
        <v>436</v>
      </c>
      <c r="G41" s="751" t="s">
        <v>437</v>
      </c>
      <c r="H41" s="751" t="s">
        <v>438</v>
      </c>
      <c r="I41" s="751" t="s">
        <v>439</v>
      </c>
      <c r="J41" s="751" t="s">
        <v>440</v>
      </c>
      <c r="K41" s="751" t="s">
        <v>441</v>
      </c>
      <c r="L41" s="751" t="s">
        <v>416</v>
      </c>
      <c r="Q41" s="27"/>
      <c r="R41" s="27"/>
      <c r="S41" s="1296"/>
      <c r="T41" s="1244"/>
      <c r="U41" s="170"/>
      <c r="V41" s="1269"/>
      <c r="W41" s="1293"/>
      <c r="X41" s="38" t="s">
        <v>442</v>
      </c>
      <c r="Y41" s="38" t="s">
        <v>443</v>
      </c>
      <c r="Z41" s="38" t="s">
        <v>444</v>
      </c>
      <c r="AA41" s="1249" t="s">
        <v>445</v>
      </c>
      <c r="AB41" s="1263"/>
      <c r="AC41" s="1302"/>
      <c r="AD41" s="1269"/>
      <c r="AE41" s="1293"/>
      <c r="AF41" s="38" t="s">
        <v>442</v>
      </c>
      <c r="AG41" s="38" t="s">
        <v>443</v>
      </c>
      <c r="AH41" s="38" t="s">
        <v>444</v>
      </c>
      <c r="AI41" s="1249" t="s">
        <v>445</v>
      </c>
      <c r="AJ41" s="1263"/>
      <c r="AK41" s="1302"/>
      <c r="AL41" s="1305"/>
      <c r="AM41" s="1146"/>
      <c r="AS41" s="10">
        <v>34</v>
      </c>
    </row>
    <row r="42" spans="1:45" s="200" customFormat="1" ht="11.25" hidden="1" customHeight="1">
      <c r="A42" s="16"/>
      <c r="B42" s="16"/>
      <c r="C42" s="16"/>
      <c r="D42" s="16"/>
      <c r="E42" s="16"/>
      <c r="F42" s="16"/>
      <c r="G42" s="16"/>
      <c r="H42" s="16"/>
      <c r="I42" s="16"/>
      <c r="J42" s="16"/>
      <c r="K42" s="16"/>
      <c r="L42" s="751"/>
      <c r="M42" s="32"/>
      <c r="N42" s="32"/>
      <c r="O42" s="32"/>
      <c r="P42" s="719"/>
      <c r="Q42" s="720"/>
      <c r="R42" s="722">
        <v>1</v>
      </c>
      <c r="S42" s="738" t="s">
        <v>107</v>
      </c>
      <c r="T42" s="723" t="s">
        <v>108</v>
      </c>
      <c r="U42" s="718" t="str">
        <f ca="1">OFFSET(U42,0,-1)</f>
        <v>2</v>
      </c>
      <c r="V42" s="724">
        <f ca="1">OFFSET(V42,0,-1)+1</f>
        <v>3</v>
      </c>
      <c r="W42" s="724"/>
      <c r="X42" s="724">
        <f ca="1">OFFSET(X42,0,-1)+1</f>
        <v>1</v>
      </c>
      <c r="Y42" s="724">
        <f ca="1">OFFSET(Y42,0,-1)+1</f>
        <v>2</v>
      </c>
      <c r="Z42" s="724">
        <f ca="1">OFFSET(Z42,0,-1)+1</f>
        <v>3</v>
      </c>
      <c r="AA42" s="1294">
        <f ca="1">OFFSET(AA42,0,-1)+1</f>
        <v>4</v>
      </c>
      <c r="AB42" s="1294"/>
      <c r="AC42" s="724">
        <f ca="1">OFFSET(AC42,0,-2)+1</f>
        <v>5</v>
      </c>
      <c r="AD42" s="724">
        <f ca="1">OFFSET(AD42,0,-1)+1</f>
        <v>6</v>
      </c>
      <c r="AE42" s="724"/>
      <c r="AF42" s="724">
        <f ca="1">OFFSET(AF42,0,-1)+1</f>
        <v>1</v>
      </c>
      <c r="AG42" s="724">
        <f ca="1">OFFSET(AG42,0,-1)+1</f>
        <v>2</v>
      </c>
      <c r="AH42" s="724">
        <f ca="1">OFFSET(AH42,0,-1)+1</f>
        <v>3</v>
      </c>
      <c r="AI42" s="1294">
        <f ca="1">OFFSET(AI42,0,-1)+1</f>
        <v>4</v>
      </c>
      <c r="AJ42" s="1294"/>
      <c r="AK42" s="724">
        <f ca="1">OFFSET(AK42,0,-2)+1</f>
        <v>5</v>
      </c>
      <c r="AL42" s="718">
        <f ca="1">OFFSET(AL42,0,-1)</f>
        <v>5</v>
      </c>
      <c r="AM42" s="724">
        <f ca="1">OFFSET(AM42,0,-1)+1</f>
        <v>6</v>
      </c>
      <c r="AN42" s="65"/>
      <c r="AO42" s="65"/>
      <c r="AP42" s="65"/>
      <c r="AQ42" s="65"/>
      <c r="AR42" s="65"/>
      <c r="AS42" s="200">
        <v>0</v>
      </c>
    </row>
    <row r="43" spans="1:45" ht="21.95" customHeight="1">
      <c r="A43" s="728" t="s">
        <v>208</v>
      </c>
      <c r="B43" s="728"/>
      <c r="C43" s="728"/>
      <c r="D43" s="728"/>
      <c r="E43" s="1309">
        <v>1</v>
      </c>
      <c r="F43" s="728"/>
      <c r="G43" s="728"/>
      <c r="H43" s="728"/>
      <c r="I43" s="728"/>
      <c r="J43" s="728"/>
      <c r="K43" s="728"/>
      <c r="L43" s="751"/>
      <c r="M43" s="339"/>
      <c r="N43" s="339"/>
      <c r="O43" s="339"/>
      <c r="Q43" s="33"/>
      <c r="R43" s="204"/>
      <c r="S43" s="706">
        <f>INDEX(PT_DIFFERENTIATION_NUM_NTAR,MATCH(A43,PT_DIFFERENTIATION_NTAR_ID,0))</f>
        <v>0</v>
      </c>
      <c r="T43" s="64" t="s">
        <v>121</v>
      </c>
      <c r="U43" s="168"/>
      <c r="V43" s="1277"/>
      <c r="W43" s="1278"/>
      <c r="X43" s="1278"/>
      <c r="Y43" s="1278"/>
      <c r="Z43" s="1278"/>
      <c r="AA43" s="1278"/>
      <c r="AB43" s="1278"/>
      <c r="AC43" s="1279"/>
      <c r="AD43" s="1277" t="str">
        <f>INDEX(PT_DIFFERENTIATION_NTAR,MATCH(A43,PT_DIFFERENTIATION_NTAR_ID,0))</f>
        <v/>
      </c>
      <c r="AE43" s="1278"/>
      <c r="AF43" s="1278"/>
      <c r="AG43" s="1278"/>
      <c r="AH43" s="1278"/>
      <c r="AI43" s="1278"/>
      <c r="AJ43" s="1278"/>
      <c r="AK43" s="1278"/>
      <c r="AL43" s="1279"/>
      <c r="AM43" s="72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28" t="s">
        <v>208</v>
      </c>
      <c r="B44" s="728" t="s">
        <v>209</v>
      </c>
      <c r="C44" s="728"/>
      <c r="D44" s="728"/>
      <c r="E44" s="1310"/>
      <c r="F44" s="1309">
        <v>1</v>
      </c>
      <c r="G44" s="728"/>
      <c r="H44" s="728"/>
      <c r="I44" s="728"/>
      <c r="J44" s="728"/>
      <c r="K44" s="728"/>
      <c r="L44" s="751"/>
      <c r="M44" s="339"/>
      <c r="N44" s="339"/>
      <c r="O44" s="339"/>
      <c r="P44" s="56"/>
      <c r="Q44" s="201"/>
      <c r="R44" s="202"/>
      <c r="S44" s="706" t="str">
        <f>INDEX(PT_DIFFERENTIATION_NUM_TER,MATCH(B44,PT_DIFFERENTIATION_TER_ID,0))</f>
        <v>.</v>
      </c>
      <c r="T44" s="174" t="s">
        <v>397</v>
      </c>
      <c r="U44" s="168"/>
      <c r="V44" s="1277"/>
      <c r="W44" s="1278"/>
      <c r="X44" s="1278"/>
      <c r="Y44" s="1278"/>
      <c r="Z44" s="1278"/>
      <c r="AA44" s="1278"/>
      <c r="AB44" s="1278"/>
      <c r="AC44" s="1279"/>
      <c r="AD44" s="1277" t="str">
        <f>INDEX(PT_DIFFERENTIATION_TER,MATCH(B44,PT_DIFFERENTIATION_TER_ID,0))</f>
        <v/>
      </c>
      <c r="AE44" s="1278"/>
      <c r="AF44" s="1278"/>
      <c r="AG44" s="1278"/>
      <c r="AH44" s="1278"/>
      <c r="AI44" s="1278"/>
      <c r="AJ44" s="1278"/>
      <c r="AK44" s="1278"/>
      <c r="AL44" s="1279"/>
      <c r="AM44" s="726" t="s">
        <v>398</v>
      </c>
      <c r="AO44" s="66"/>
      <c r="AP44" s="66" t="str">
        <f t="shared" si="1"/>
        <v>Территория действия тарифа</v>
      </c>
      <c r="AQ44" s="66"/>
      <c r="AR44" s="66"/>
      <c r="AS44" s="10">
        <v>21</v>
      </c>
    </row>
    <row r="45" spans="1:45" ht="24" customHeight="1">
      <c r="A45" s="728" t="s">
        <v>208</v>
      </c>
      <c r="B45" s="728" t="s">
        <v>209</v>
      </c>
      <c r="C45" s="728" t="s">
        <v>210</v>
      </c>
      <c r="D45" s="728"/>
      <c r="E45" s="1310"/>
      <c r="F45" s="1310"/>
      <c r="G45" s="1309">
        <v>1</v>
      </c>
      <c r="H45" s="728"/>
      <c r="I45" s="728"/>
      <c r="J45" s="728"/>
      <c r="K45" s="728"/>
      <c r="L45" s="751"/>
      <c r="M45" s="339"/>
      <c r="N45" s="339"/>
      <c r="O45" s="339"/>
      <c r="P45" s="203"/>
      <c r="Q45" s="201"/>
      <c r="R45" s="202"/>
      <c r="S45" s="706" t="str">
        <f>INDEX(PT_DIFFERENTIATION_NUM_CS,MATCH(C45,PT_DIFFERENTIATION_CS_ID,0))</f>
        <v>..</v>
      </c>
      <c r="T45" s="175" t="s">
        <v>399</v>
      </c>
      <c r="U45" s="168"/>
      <c r="V45" s="1277"/>
      <c r="W45" s="1278"/>
      <c r="X45" s="1278"/>
      <c r="Y45" s="1278"/>
      <c r="Z45" s="1278"/>
      <c r="AA45" s="1278"/>
      <c r="AB45" s="1278"/>
      <c r="AC45" s="1279"/>
      <c r="AD45" s="1277" t="str">
        <f>INDEX(PT_DIFFERENTIATION_CS,MATCH(C45,PT_DIFFERENTIATION_CS_ID,0))</f>
        <v/>
      </c>
      <c r="AE45" s="1278"/>
      <c r="AF45" s="1278"/>
      <c r="AG45" s="1278"/>
      <c r="AH45" s="1278"/>
      <c r="AI45" s="1278"/>
      <c r="AJ45" s="1278"/>
      <c r="AK45" s="1278"/>
      <c r="AL45" s="1279"/>
      <c r="AM45" s="726" t="s">
        <v>400</v>
      </c>
      <c r="AO45" s="66"/>
      <c r="AP45" s="66" t="str">
        <f t="shared" si="1"/>
        <v xml:space="preserve">Наименование системы теплоснабжения </v>
      </c>
      <c r="AQ45" s="66"/>
      <c r="AR45" s="66"/>
      <c r="AS45" s="10">
        <v>23</v>
      </c>
    </row>
    <row r="46" spans="1:45" ht="21.95" customHeight="1">
      <c r="A46" s="728" t="s">
        <v>208</v>
      </c>
      <c r="B46" s="728" t="s">
        <v>209</v>
      </c>
      <c r="C46" s="728" t="s">
        <v>210</v>
      </c>
      <c r="D46" s="728" t="s">
        <v>211</v>
      </c>
      <c r="E46" s="1310"/>
      <c r="F46" s="1310"/>
      <c r="G46" s="1310"/>
      <c r="H46" s="1309">
        <v>1</v>
      </c>
      <c r="I46" s="728"/>
      <c r="J46" s="728"/>
      <c r="K46" s="728"/>
      <c r="L46" s="751"/>
      <c r="M46" s="339"/>
      <c r="N46" s="339"/>
      <c r="O46" s="339"/>
      <c r="P46" s="203"/>
      <c r="Q46" s="201"/>
      <c r="R46" s="202"/>
      <c r="S46" s="706" t="str">
        <f>INDEX(PT_DIFFERENTIATION_NUM_IST_TE,MATCH(D46,PT_DIFFERENTIATION_IST_TE_ID,0))</f>
        <v>...</v>
      </c>
      <c r="T46" s="176" t="s">
        <v>401</v>
      </c>
      <c r="U46" s="168"/>
      <c r="V46" s="1277"/>
      <c r="W46" s="1278"/>
      <c r="X46" s="1278"/>
      <c r="Y46" s="1278"/>
      <c r="Z46" s="1278"/>
      <c r="AA46" s="1278"/>
      <c r="AB46" s="1278"/>
      <c r="AC46" s="1279"/>
      <c r="AD46" s="1277" t="str">
        <f>INDEX(PT_DIFFERENTIATION_IST_TE,MATCH(D46,PT_DIFFERENTIATION_IST_TE_ID,0))</f>
        <v/>
      </c>
      <c r="AE46" s="1278"/>
      <c r="AF46" s="1278"/>
      <c r="AG46" s="1278"/>
      <c r="AH46" s="1278"/>
      <c r="AI46" s="1278"/>
      <c r="AJ46" s="1278"/>
      <c r="AK46" s="1278"/>
      <c r="AL46" s="1279"/>
      <c r="AM46" s="726" t="s">
        <v>402</v>
      </c>
      <c r="AO46" s="66"/>
      <c r="AP46" s="66" t="str">
        <f t="shared" si="1"/>
        <v xml:space="preserve">Источник тепловой энергии  </v>
      </c>
      <c r="AQ46" s="66"/>
      <c r="AR46" s="66"/>
      <c r="AS46" s="10">
        <v>21</v>
      </c>
    </row>
    <row r="47" spans="1:45" ht="49.5" customHeight="1">
      <c r="A47" s="728" t="s">
        <v>208</v>
      </c>
      <c r="B47" s="728" t="s">
        <v>209</v>
      </c>
      <c r="C47" s="728" t="s">
        <v>210</v>
      </c>
      <c r="D47" s="728" t="s">
        <v>211</v>
      </c>
      <c r="E47" s="1310"/>
      <c r="F47" s="1310"/>
      <c r="G47" s="1310"/>
      <c r="H47" s="1310"/>
      <c r="I47" s="1146" t="str">
        <f>S46&amp;".1"</f>
        <v>....1</v>
      </c>
      <c r="J47" s="728"/>
      <c r="K47" s="728"/>
      <c r="L47" s="751" t="s">
        <v>403</v>
      </c>
      <c r="P47" s="1287">
        <v>1</v>
      </c>
      <c r="Q47" s="119"/>
      <c r="R47" s="205"/>
      <c r="S47" s="706" t="str">
        <f>$I47</f>
        <v>....1</v>
      </c>
      <c r="T47" s="161" t="s">
        <v>404</v>
      </c>
      <c r="U47" s="168"/>
      <c r="V47" s="1271"/>
      <c r="W47" s="1272"/>
      <c r="X47" s="1272"/>
      <c r="Y47" s="1272"/>
      <c r="Z47" s="1272"/>
      <c r="AA47" s="1272"/>
      <c r="AB47" s="1272"/>
      <c r="AC47" s="1273"/>
      <c r="AD47" s="1271"/>
      <c r="AE47" s="1272"/>
      <c r="AF47" s="1272"/>
      <c r="AG47" s="1272"/>
      <c r="AH47" s="1272"/>
      <c r="AI47" s="1272"/>
      <c r="AJ47" s="1272"/>
      <c r="AK47" s="1272"/>
      <c r="AL47" s="1273"/>
      <c r="AM47" s="726" t="s">
        <v>405</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1.95" customHeight="1">
      <c r="A48" s="728" t="s">
        <v>208</v>
      </c>
      <c r="B48" s="728" t="s">
        <v>209</v>
      </c>
      <c r="C48" s="728" t="s">
        <v>210</v>
      </c>
      <c r="D48" s="728" t="s">
        <v>211</v>
      </c>
      <c r="E48" s="1310"/>
      <c r="F48" s="1310"/>
      <c r="G48" s="1310"/>
      <c r="H48" s="1310"/>
      <c r="I48" s="1128"/>
      <c r="J48" s="1146" t="str">
        <f>I47&amp;".1"</f>
        <v>....1.1</v>
      </c>
      <c r="K48" s="728"/>
      <c r="L48" s="751" t="s">
        <v>406</v>
      </c>
      <c r="P48" s="1287"/>
      <c r="Q48" s="1287">
        <v>1</v>
      </c>
      <c r="R48" s="206"/>
      <c r="S48" s="706" t="str">
        <f>$J48</f>
        <v>....1.1</v>
      </c>
      <c r="T48" s="162" t="s">
        <v>407</v>
      </c>
      <c r="U48" s="168"/>
      <c r="V48" s="1271"/>
      <c r="W48" s="1272"/>
      <c r="X48" s="1272"/>
      <c r="Y48" s="1272"/>
      <c r="Z48" s="1272"/>
      <c r="AA48" s="1272"/>
      <c r="AB48" s="1272"/>
      <c r="AC48" s="1273"/>
      <c r="AD48" s="1271"/>
      <c r="AE48" s="1272"/>
      <c r="AF48" s="1272"/>
      <c r="AG48" s="1272"/>
      <c r="AH48" s="1272"/>
      <c r="AI48" s="1272"/>
      <c r="AJ48" s="1272"/>
      <c r="AK48" s="1272"/>
      <c r="AL48" s="1273"/>
      <c r="AM48" s="726" t="s">
        <v>408</v>
      </c>
      <c r="AO48" s="66"/>
      <c r="AP48" s="66" t="str">
        <f t="shared" si="1"/>
        <v>Группа потребителей</v>
      </c>
      <c r="AQ48" s="66"/>
      <c r="AR48" s="66"/>
      <c r="AS48" s="10">
        <v>21</v>
      </c>
    </row>
    <row r="49" spans="1:45" ht="21.95" customHeight="1">
      <c r="A49" s="728" t="s">
        <v>208</v>
      </c>
      <c r="B49" s="728" t="s">
        <v>209</v>
      </c>
      <c r="C49" s="728" t="s">
        <v>210</v>
      </c>
      <c r="D49" s="728" t="s">
        <v>211</v>
      </c>
      <c r="E49" s="1310"/>
      <c r="F49" s="1310"/>
      <c r="G49" s="1310"/>
      <c r="H49" s="1310"/>
      <c r="I49" s="1128"/>
      <c r="J49" s="1128"/>
      <c r="K49" s="1146" t="str">
        <f>J48&amp;".1"</f>
        <v>....1.1.1</v>
      </c>
      <c r="L49" s="751" t="s">
        <v>409</v>
      </c>
      <c r="P49" s="1287"/>
      <c r="Q49" s="1287"/>
      <c r="R49" s="206">
        <v>1</v>
      </c>
      <c r="S49" s="706" t="str">
        <f>$K49</f>
        <v>....1.1.1</v>
      </c>
      <c r="T49" s="762"/>
      <c r="U49" s="168"/>
      <c r="V49" s="303"/>
      <c r="W49" s="188"/>
      <c r="X49" s="303"/>
      <c r="Y49" s="725"/>
      <c r="Z49" s="1288"/>
      <c r="AA49" s="1156" t="s">
        <v>64</v>
      </c>
      <c r="AB49" s="1288"/>
      <c r="AC49" s="1156" t="s">
        <v>64</v>
      </c>
      <c r="AD49" s="303"/>
      <c r="AE49" s="188"/>
      <c r="AF49" s="303"/>
      <c r="AG49" s="725"/>
      <c r="AH49" s="1288"/>
      <c r="AI49" s="1156" t="s">
        <v>64</v>
      </c>
      <c r="AJ49" s="1290"/>
      <c r="AK49" s="1156" t="s">
        <v>64</v>
      </c>
      <c r="AL49" s="763"/>
      <c r="AM49" s="1306" t="s">
        <v>410</v>
      </c>
      <c r="AN49" s="65" t="e">
        <f ca="1">STRCHECKDATE(V50:AL50)</f>
        <v>#NAME?</v>
      </c>
      <c r="AO49" s="66"/>
      <c r="AP49" s="66" t="str">
        <f t="shared" si="1"/>
        <v/>
      </c>
      <c r="AQ49" s="66"/>
      <c r="AR49" s="66"/>
      <c r="AS49" s="10">
        <v>21</v>
      </c>
    </row>
    <row r="50" spans="1:45" ht="1.1499999999999999" customHeight="1">
      <c r="A50" s="728" t="s">
        <v>208</v>
      </c>
      <c r="B50" s="728" t="s">
        <v>209</v>
      </c>
      <c r="C50" s="728" t="s">
        <v>210</v>
      </c>
      <c r="D50" s="728" t="s">
        <v>211</v>
      </c>
      <c r="E50" s="1310"/>
      <c r="F50" s="1310"/>
      <c r="G50" s="1310"/>
      <c r="H50" s="1310"/>
      <c r="I50" s="1128"/>
      <c r="J50" s="1128"/>
      <c r="K50" s="1146"/>
      <c r="L50" s="751"/>
      <c r="P50" s="1287"/>
      <c r="Q50" s="1287"/>
      <c r="R50" s="206"/>
      <c r="S50" s="62"/>
      <c r="T50" s="168"/>
      <c r="U50" s="168"/>
      <c r="V50" s="188"/>
      <c r="W50" s="188"/>
      <c r="X50" s="188"/>
      <c r="Y50" s="189" t="str">
        <f>Z49&amp;"-"&amp;AB49</f>
        <v>-</v>
      </c>
      <c r="Z50" s="1289"/>
      <c r="AA50" s="1156"/>
      <c r="AB50" s="1289"/>
      <c r="AC50" s="1156"/>
      <c r="AD50" s="188"/>
      <c r="AE50" s="188"/>
      <c r="AF50" s="188"/>
      <c r="AG50" s="189" t="str">
        <f>AH49&amp;"-"&amp;AJ49</f>
        <v>-</v>
      </c>
      <c r="AH50" s="1289"/>
      <c r="AI50" s="1156"/>
      <c r="AJ50" s="1291"/>
      <c r="AK50" s="1156"/>
      <c r="AL50" s="764"/>
      <c r="AM50" s="1307"/>
      <c r="AO50" s="66"/>
      <c r="AP50" s="66" t="str">
        <f t="shared" si="1"/>
        <v/>
      </c>
      <c r="AQ50" s="66"/>
      <c r="AR50" s="66"/>
      <c r="AS50" s="10">
        <v>1</v>
      </c>
    </row>
    <row r="51" spans="1:45" ht="11.45" customHeight="1">
      <c r="A51" s="728" t="s">
        <v>208</v>
      </c>
      <c r="B51" s="728" t="s">
        <v>209</v>
      </c>
      <c r="C51" s="728" t="s">
        <v>210</v>
      </c>
      <c r="D51" s="728" t="s">
        <v>211</v>
      </c>
      <c r="E51" s="1310"/>
      <c r="F51" s="1310"/>
      <c r="G51" s="1310"/>
      <c r="H51" s="1310"/>
      <c r="I51" s="1128"/>
      <c r="J51" s="1146"/>
      <c r="K51" s="728"/>
      <c r="L51" s="751"/>
      <c r="P51" s="1287"/>
      <c r="Q51" s="1287"/>
      <c r="R51" s="205"/>
      <c r="S51" s="739"/>
      <c r="T51" s="164" t="s">
        <v>411</v>
      </c>
      <c r="U51" s="210"/>
      <c r="V51" s="210"/>
      <c r="W51" s="210"/>
      <c r="X51" s="210"/>
      <c r="Y51" s="210"/>
      <c r="Z51" s="210"/>
      <c r="AA51" s="210"/>
      <c r="AB51" s="210"/>
      <c r="AC51" s="210"/>
      <c r="AD51" s="210"/>
      <c r="AE51" s="210"/>
      <c r="AF51" s="210"/>
      <c r="AG51" s="210"/>
      <c r="AH51" s="210"/>
      <c r="AI51" s="210"/>
      <c r="AJ51" s="210"/>
      <c r="AK51" s="210"/>
      <c r="AL51" s="187"/>
      <c r="AM51" s="1308"/>
      <c r="AO51" s="66"/>
      <c r="AP51" s="66" t="str">
        <f t="shared" si="1"/>
        <v>Добавить вид теплоносителя (параметры теплоносителя)</v>
      </c>
      <c r="AQ51" s="66"/>
      <c r="AR51" s="66"/>
      <c r="AS51" s="10">
        <v>11</v>
      </c>
    </row>
    <row r="52" spans="1:45" ht="11.45" customHeight="1">
      <c r="A52" s="728" t="s">
        <v>208</v>
      </c>
      <c r="B52" s="728" t="s">
        <v>209</v>
      </c>
      <c r="C52" s="728" t="s">
        <v>210</v>
      </c>
      <c r="D52" s="728" t="s">
        <v>211</v>
      </c>
      <c r="E52" s="1310"/>
      <c r="F52" s="1310"/>
      <c r="G52" s="1310"/>
      <c r="H52" s="1310"/>
      <c r="I52" s="1146"/>
      <c r="J52" s="728"/>
      <c r="K52" s="728"/>
      <c r="L52" s="751"/>
      <c r="P52" s="1287"/>
      <c r="Q52" s="119"/>
      <c r="R52" s="205"/>
      <c r="S52" s="739"/>
      <c r="T52" s="163" t="s">
        <v>412</v>
      </c>
      <c r="U52" s="210"/>
      <c r="V52" s="210"/>
      <c r="W52" s="210"/>
      <c r="X52" s="210"/>
      <c r="Y52" s="210"/>
      <c r="Z52" s="210"/>
      <c r="AA52" s="210"/>
      <c r="AB52" s="210"/>
      <c r="AC52" s="209"/>
      <c r="AD52" s="210"/>
      <c r="AE52" s="210"/>
      <c r="AF52" s="210"/>
      <c r="AG52" s="210"/>
      <c r="AH52" s="210"/>
      <c r="AI52" s="210"/>
      <c r="AJ52" s="210"/>
      <c r="AK52" s="209"/>
      <c r="AL52" s="210"/>
      <c r="AM52" s="171"/>
      <c r="AO52" s="66"/>
      <c r="AP52" s="66" t="str">
        <f t="shared" si="1"/>
        <v>Добавить группу потребителей</v>
      </c>
      <c r="AQ52" s="66"/>
      <c r="AR52" s="66"/>
      <c r="AS52" s="10">
        <v>11</v>
      </c>
    </row>
    <row r="53" spans="1:45" ht="14.65" customHeight="1">
      <c r="A53" s="728" t="s">
        <v>208</v>
      </c>
      <c r="B53" s="728" t="s">
        <v>209</v>
      </c>
      <c r="C53" s="728" t="s">
        <v>210</v>
      </c>
      <c r="D53" s="728" t="s">
        <v>211</v>
      </c>
      <c r="E53" s="1310"/>
      <c r="F53" s="1310"/>
      <c r="G53" s="1310"/>
      <c r="H53" s="1309"/>
      <c r="I53" s="728"/>
      <c r="J53" s="728"/>
      <c r="K53" s="728"/>
      <c r="L53" s="751"/>
      <c r="M53" s="339"/>
      <c r="N53" s="339"/>
      <c r="O53" s="10"/>
      <c r="P53" s="33"/>
      <c r="Q53" s="213"/>
      <c r="R53" s="204"/>
      <c r="S53" s="739"/>
      <c r="T53" s="208" t="s">
        <v>413</v>
      </c>
      <c r="U53" s="210"/>
      <c r="V53" s="210"/>
      <c r="W53" s="210"/>
      <c r="X53" s="210"/>
      <c r="Y53" s="210"/>
      <c r="Z53" s="210"/>
      <c r="AA53" s="210"/>
      <c r="AB53" s="210"/>
      <c r="AC53" s="209"/>
      <c r="AD53" s="210"/>
      <c r="AE53" s="210"/>
      <c r="AF53" s="210"/>
      <c r="AG53" s="210"/>
      <c r="AH53" s="210"/>
      <c r="AI53" s="210"/>
      <c r="AJ53" s="210"/>
      <c r="AK53" s="209"/>
      <c r="AL53" s="210"/>
      <c r="AM53" s="171"/>
      <c r="AO53" s="66"/>
      <c r="AP53" s="66" t="str">
        <f t="shared" si="1"/>
        <v>Добавить схему подключения</v>
      </c>
      <c r="AQ53" s="66"/>
      <c r="AR53" s="66"/>
      <c r="AS53" s="10">
        <v>14</v>
      </c>
    </row>
    <row r="54" spans="1:45" s="65" customFormat="1" ht="4.1500000000000004" customHeight="1">
      <c r="A54" s="771" t="s">
        <v>208</v>
      </c>
      <c r="B54" s="771" t="s">
        <v>209</v>
      </c>
      <c r="C54" s="771" t="s">
        <v>210</v>
      </c>
      <c r="D54" s="771"/>
      <c r="E54" s="1310"/>
      <c r="F54" s="1310"/>
      <c r="G54" s="1309"/>
      <c r="H54" s="771"/>
      <c r="I54" s="771"/>
      <c r="J54" s="771"/>
      <c r="K54" s="771"/>
      <c r="L54" s="772"/>
      <c r="M54" s="773"/>
      <c r="N54" s="773"/>
      <c r="O54" s="200"/>
      <c r="P54" s="101"/>
      <c r="Q54" s="752"/>
      <c r="R54" s="101"/>
      <c r="S54" s="757"/>
      <c r="T54" s="759" t="s">
        <v>414</v>
      </c>
      <c r="U54" s="310"/>
      <c r="V54" s="310"/>
      <c r="W54" s="310"/>
      <c r="X54" s="310"/>
      <c r="Y54" s="310"/>
      <c r="Z54" s="310"/>
      <c r="AA54" s="310"/>
      <c r="AB54" s="310"/>
      <c r="AC54" s="310"/>
      <c r="AD54" s="310"/>
      <c r="AE54" s="310"/>
      <c r="AF54" s="310"/>
      <c r="AG54" s="310"/>
      <c r="AH54" s="310"/>
      <c r="AI54" s="310"/>
      <c r="AJ54" s="310"/>
      <c r="AK54" s="310"/>
      <c r="AL54" s="310"/>
      <c r="AM54" s="310"/>
      <c r="AO54" s="66"/>
      <c r="AP54" s="66" t="str">
        <f t="shared" si="1"/>
        <v>Добавить источник для дифференциации</v>
      </c>
      <c r="AQ54" s="66"/>
      <c r="AR54" s="66"/>
      <c r="AS54" s="65">
        <v>4</v>
      </c>
    </row>
    <row r="55" spans="1:45" s="65" customFormat="1" ht="4.1500000000000004" customHeight="1">
      <c r="A55" s="771" t="s">
        <v>208</v>
      </c>
      <c r="B55" s="771" t="s">
        <v>209</v>
      </c>
      <c r="C55" s="771"/>
      <c r="D55" s="771"/>
      <c r="E55" s="1310"/>
      <c r="F55" s="1309"/>
      <c r="G55" s="771"/>
      <c r="H55" s="771"/>
      <c r="I55" s="771"/>
      <c r="J55" s="771"/>
      <c r="K55" s="771"/>
      <c r="L55" s="772"/>
      <c r="M55" s="774"/>
      <c r="N55" s="774"/>
      <c r="O55" s="200"/>
      <c r="P55" s="101"/>
      <c r="Q55" s="752"/>
      <c r="R55" s="101"/>
      <c r="S55" s="757"/>
      <c r="T55" s="759" t="s">
        <v>231</v>
      </c>
      <c r="U55" s="310"/>
      <c r="V55" s="310"/>
      <c r="W55" s="310"/>
      <c r="X55" s="310"/>
      <c r="Y55" s="310"/>
      <c r="Z55" s="310"/>
      <c r="AA55" s="310"/>
      <c r="AB55" s="310"/>
      <c r="AC55" s="310"/>
      <c r="AD55" s="310"/>
      <c r="AE55" s="310"/>
      <c r="AF55" s="310"/>
      <c r="AG55" s="310"/>
      <c r="AH55" s="310"/>
      <c r="AI55" s="310"/>
      <c r="AJ55" s="310"/>
      <c r="AK55" s="310"/>
      <c r="AL55" s="310"/>
      <c r="AM55" s="310"/>
      <c r="AO55" s="66"/>
      <c r="AP55" s="66" t="str">
        <f t="shared" si="1"/>
        <v>Добавить централизованную систему для дифференциации</v>
      </c>
      <c r="AQ55" s="66"/>
      <c r="AR55" s="66"/>
      <c r="AS55" s="65">
        <v>4</v>
      </c>
    </row>
    <row r="56" spans="1:45" s="65" customFormat="1" ht="4.1500000000000004" customHeight="1">
      <c r="A56" s="771" t="s">
        <v>208</v>
      </c>
      <c r="B56" s="771"/>
      <c r="C56" s="771"/>
      <c r="D56" s="771"/>
      <c r="E56" s="1309"/>
      <c r="F56" s="771"/>
      <c r="G56" s="771"/>
      <c r="H56" s="771"/>
      <c r="I56" s="771"/>
      <c r="J56" s="771"/>
      <c r="K56" s="771"/>
      <c r="L56" s="772"/>
      <c r="M56" s="774"/>
      <c r="N56" s="774"/>
      <c r="O56" s="200"/>
      <c r="P56" s="101"/>
      <c r="Q56" s="752"/>
      <c r="R56" s="101"/>
      <c r="S56" s="757"/>
      <c r="T56" s="759" t="s">
        <v>232</v>
      </c>
      <c r="U56" s="310"/>
      <c r="V56" s="310"/>
      <c r="W56" s="310"/>
      <c r="X56" s="310"/>
      <c r="Y56" s="310"/>
      <c r="Z56" s="310"/>
      <c r="AA56" s="310"/>
      <c r="AB56" s="310"/>
      <c r="AC56" s="310"/>
      <c r="AD56" s="310"/>
      <c r="AE56" s="310"/>
      <c r="AF56" s="310"/>
      <c r="AG56" s="310"/>
      <c r="AH56" s="310"/>
      <c r="AI56" s="310"/>
      <c r="AJ56" s="310"/>
      <c r="AK56" s="310"/>
      <c r="AL56" s="310"/>
      <c r="AM56" s="310"/>
      <c r="AO56" s="66"/>
      <c r="AP56" s="66" t="str">
        <f t="shared" si="1"/>
        <v>Добавить территорию для дифференциации</v>
      </c>
      <c r="AQ56" s="66"/>
      <c r="AR56" s="66"/>
      <c r="AS56" s="65">
        <v>4</v>
      </c>
    </row>
    <row r="57" spans="1:45" s="65" customFormat="1" ht="4.1500000000000004" customHeight="1">
      <c r="A57" s="771"/>
      <c r="B57" s="771"/>
      <c r="C57" s="771"/>
      <c r="D57" s="771"/>
      <c r="E57" s="771"/>
      <c r="F57" s="771"/>
      <c r="G57" s="771"/>
      <c r="H57" s="771"/>
      <c r="I57" s="771"/>
      <c r="J57" s="771"/>
      <c r="K57" s="771"/>
      <c r="L57" s="772"/>
      <c r="M57" s="774"/>
      <c r="N57" s="774"/>
      <c r="O57" s="200"/>
      <c r="P57" s="101"/>
      <c r="Q57" s="752"/>
      <c r="R57" s="101"/>
      <c r="S57" s="757"/>
      <c r="T57" s="759" t="s">
        <v>233</v>
      </c>
      <c r="U57" s="310"/>
      <c r="V57" s="310"/>
      <c r="W57" s="310"/>
      <c r="X57" s="310"/>
      <c r="Y57" s="310"/>
      <c r="Z57" s="310"/>
      <c r="AA57" s="310"/>
      <c r="AB57" s="310"/>
      <c r="AC57" s="310"/>
      <c r="AD57" s="310"/>
      <c r="AE57" s="310"/>
      <c r="AF57" s="310"/>
      <c r="AG57" s="310"/>
      <c r="AH57" s="310"/>
      <c r="AI57" s="310"/>
      <c r="AJ57" s="310"/>
      <c r="AK57" s="310"/>
      <c r="AL57" s="310"/>
      <c r="AM57" s="310"/>
      <c r="AO57" s="66"/>
      <c r="AP57" s="66" t="str">
        <f t="shared" si="1"/>
        <v>Добавить наименование тарифа</v>
      </c>
      <c r="AQ57" s="66"/>
      <c r="AR57" s="66"/>
      <c r="AS57" s="65">
        <v>4</v>
      </c>
    </row>
    <row r="58" spans="1:45" ht="11.45" customHeight="1">
      <c r="M58" s="10"/>
      <c r="N58" s="10"/>
      <c r="O58" s="10"/>
      <c r="P58" s="10"/>
      <c r="Q58" s="10"/>
      <c r="R58" s="10"/>
      <c r="S58" s="10"/>
      <c r="AN58" s="10"/>
      <c r="AO58" s="10"/>
      <c r="AP58" s="10"/>
      <c r="AQ58" s="10"/>
      <c r="AR58" s="10"/>
      <c r="AS58" s="10">
        <v>11</v>
      </c>
    </row>
    <row r="59" spans="1:45" ht="28.5" customHeight="1">
      <c r="O59" s="10"/>
      <c r="S59" s="195"/>
      <c r="T59" s="1282"/>
      <c r="U59" s="1282"/>
      <c r="V59" s="1282"/>
      <c r="W59" s="1282"/>
      <c r="X59" s="1282"/>
      <c r="Y59" s="1282"/>
      <c r="Z59" s="1282"/>
      <c r="AA59" s="1282"/>
      <c r="AB59" s="1282"/>
      <c r="AC59" s="1282"/>
      <c r="AD59" s="1282"/>
      <c r="AE59" s="1282"/>
      <c r="AF59" s="1282"/>
      <c r="AG59" s="1282"/>
      <c r="AH59" s="1282"/>
      <c r="AI59" s="1282"/>
      <c r="AJ59" s="1282"/>
      <c r="AK59" s="1282"/>
      <c r="AL59" s="1282"/>
      <c r="AM59" s="1282"/>
      <c r="AS59" s="10">
        <v>27</v>
      </c>
    </row>
    <row r="60" spans="1:45" ht="65.25" customHeight="1">
      <c r="O60" s="10"/>
      <c r="T60" s="1282"/>
      <c r="U60" s="1282"/>
      <c r="V60" s="1282"/>
      <c r="W60" s="1282"/>
      <c r="X60" s="1282"/>
      <c r="Y60" s="1282"/>
      <c r="Z60" s="1282"/>
      <c r="AA60" s="1282"/>
      <c r="AB60" s="1282"/>
      <c r="AC60" s="1282"/>
      <c r="AD60" s="1282"/>
      <c r="AE60" s="1282"/>
      <c r="AF60" s="1282"/>
      <c r="AG60" s="1282"/>
      <c r="AH60" s="1282"/>
      <c r="AI60" s="1282"/>
      <c r="AJ60" s="1282"/>
      <c r="AK60" s="1282"/>
      <c r="AL60" s="1282"/>
      <c r="AM60" s="1282"/>
      <c r="AS60" s="10">
        <v>62</v>
      </c>
    </row>
    <row r="61" spans="1:45" ht="14.65" customHeight="1">
      <c r="O61" s="10"/>
      <c r="AS61" s="10">
        <v>14</v>
      </c>
    </row>
    <row r="62" spans="1:45" ht="18.75" customHeight="1">
      <c r="O62" s="10"/>
      <c r="S62" s="195"/>
      <c r="T62" s="1282"/>
      <c r="U62" s="1282"/>
      <c r="V62" s="1282"/>
      <c r="W62" s="1282"/>
      <c r="X62" s="1282"/>
      <c r="Y62" s="1282"/>
      <c r="Z62" s="1282"/>
      <c r="AA62" s="1282"/>
      <c r="AB62" s="1282"/>
      <c r="AC62" s="1282"/>
      <c r="AD62" s="1282"/>
      <c r="AE62" s="1282"/>
      <c r="AF62" s="1282"/>
      <c r="AG62" s="1282"/>
      <c r="AH62" s="1282"/>
      <c r="AI62" s="1282"/>
      <c r="AJ62" s="1282"/>
      <c r="AK62" s="1282"/>
      <c r="AL62" s="1282"/>
      <c r="AM62" s="1282"/>
      <c r="AS62" s="10">
        <v>18</v>
      </c>
    </row>
    <row r="63" spans="1:45" ht="18.75" customHeight="1">
      <c r="O63" s="10"/>
      <c r="T63" s="1282"/>
      <c r="U63" s="1282"/>
      <c r="V63" s="1282"/>
      <c r="W63" s="1282"/>
      <c r="X63" s="1282"/>
      <c r="Y63" s="1282"/>
      <c r="Z63" s="1282"/>
      <c r="AA63" s="1282"/>
      <c r="AB63" s="1282"/>
      <c r="AC63" s="1282"/>
      <c r="AD63" s="1282"/>
      <c r="AE63" s="1282"/>
      <c r="AF63" s="1282"/>
      <c r="AG63" s="1282"/>
      <c r="AH63" s="1282"/>
      <c r="AI63" s="1282"/>
      <c r="AJ63" s="1282"/>
      <c r="AK63" s="1282"/>
      <c r="AL63" s="1282"/>
      <c r="AM63" s="1282"/>
      <c r="AS63" s="10">
        <v>18</v>
      </c>
    </row>
    <row r="64" spans="1:45" ht="29.25" customHeight="1">
      <c r="O64" s="10"/>
      <c r="S64" s="195"/>
      <c r="T64" s="1282"/>
      <c r="U64" s="1282"/>
      <c r="V64" s="1282"/>
      <c r="W64" s="1282"/>
      <c r="X64" s="1282"/>
      <c r="Y64" s="1282"/>
      <c r="Z64" s="1282"/>
      <c r="AA64" s="1282"/>
      <c r="AB64" s="1282"/>
      <c r="AC64" s="1282"/>
      <c r="AD64" s="1282"/>
      <c r="AE64" s="1282"/>
      <c r="AF64" s="1282"/>
      <c r="AG64" s="1282"/>
      <c r="AH64" s="1282"/>
      <c r="AI64" s="1282"/>
      <c r="AJ64" s="1282"/>
      <c r="AK64" s="1282"/>
      <c r="AL64" s="1282"/>
      <c r="AM64" s="1282"/>
      <c r="AS64" s="10">
        <v>28</v>
      </c>
    </row>
    <row r="65" spans="1:45" ht="22.5" hidden="1" customHeight="1">
      <c r="A65" s="10" t="s">
        <v>80</v>
      </c>
      <c r="B65" s="10">
        <v>0</v>
      </c>
      <c r="C65" s="10">
        <v>0</v>
      </c>
      <c r="D65" s="10">
        <v>0</v>
      </c>
      <c r="E65" s="10">
        <v>0</v>
      </c>
      <c r="F65" s="10">
        <v>0</v>
      </c>
      <c r="G65" s="10">
        <v>0</v>
      </c>
      <c r="H65" s="10">
        <v>0</v>
      </c>
      <c r="I65" s="10">
        <v>0</v>
      </c>
      <c r="J65" s="10">
        <v>0</v>
      </c>
      <c r="K65" s="10">
        <v>0</v>
      </c>
      <c r="L65" s="56">
        <v>0</v>
      </c>
      <c r="M65" s="32">
        <v>0</v>
      </c>
      <c r="N65" s="32">
        <v>0</v>
      </c>
      <c r="O65" s="32">
        <v>0</v>
      </c>
      <c r="P65" s="32">
        <v>3</v>
      </c>
      <c r="Q65" s="28">
        <v>3</v>
      </c>
      <c r="R65" s="28">
        <v>3</v>
      </c>
      <c r="S65" s="339">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5">
        <v>10</v>
      </c>
      <c r="AO65" s="65">
        <v>10</v>
      </c>
      <c r="AP65" s="65">
        <v>10</v>
      </c>
      <c r="AQ65" s="65">
        <v>10</v>
      </c>
      <c r="AR65" s="65">
        <v>10</v>
      </c>
      <c r="AS65" s="1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6" hidden="1" customWidth="1"/>
    <col min="13" max="14" width="12.28515625" style="32" hidden="1" customWidth="1"/>
    <col min="15" max="15" width="23.42578125" style="32" hidden="1" customWidth="1"/>
    <col min="16" max="16" width="3" style="32" customWidth="1"/>
    <col min="17" max="18" width="3" style="28" customWidth="1"/>
    <col min="19" max="19" width="12" style="339"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28"/>
      <c r="B2" s="728"/>
      <c r="C2" s="728"/>
      <c r="D2" s="728"/>
      <c r="E2" s="1309">
        <v>1</v>
      </c>
      <c r="F2" s="728"/>
      <c r="G2" s="728"/>
      <c r="H2" s="728"/>
      <c r="I2" s="728"/>
      <c r="J2" s="728"/>
      <c r="K2" s="728"/>
      <c r="L2" s="751"/>
      <c r="M2" s="339"/>
      <c r="N2" s="339"/>
      <c r="O2" s="339"/>
      <c r="Q2" s="33"/>
      <c r="R2" s="204"/>
      <c r="S2" s="706" t="e">
        <f>INDEX(PT_DIFFERENTIATION_NUM_NTAR,MATCH(A2,PT_DIFFERENTIATION_NTAR_ID,0))</f>
        <v>#N/A</v>
      </c>
      <c r="T2" s="64" t="s">
        <v>121</v>
      </c>
      <c r="U2" s="168"/>
      <c r="V2" s="1277"/>
      <c r="W2" s="1278"/>
      <c r="X2" s="1278"/>
      <c r="Y2" s="1278"/>
      <c r="Z2" s="1278"/>
      <c r="AA2" s="1278"/>
      <c r="AB2" s="1278"/>
      <c r="AC2" s="1279"/>
      <c r="AD2" s="1277" t="e">
        <f>INDEX(PT_DIFFERENTIATION_NTAR,MATCH(A2,PT_DIFFERENTIATION_NTAR_ID,0))</f>
        <v>#N/A</v>
      </c>
      <c r="AE2" s="1278"/>
      <c r="AF2" s="1278"/>
      <c r="AG2" s="1278"/>
      <c r="AH2" s="1278"/>
      <c r="AI2" s="1278"/>
      <c r="AJ2" s="1278"/>
      <c r="AK2" s="1278"/>
      <c r="AL2" s="1279"/>
      <c r="AM2" s="726" t="s">
        <v>396</v>
      </c>
      <c r="AO2" s="66"/>
      <c r="AP2" s="66" t="str">
        <f t="shared" ref="AP2:AP15" si="0">IF(T2="","",T2)</f>
        <v>Наименование тарифа</v>
      </c>
      <c r="AQ2" s="66"/>
      <c r="AR2" s="66"/>
      <c r="AS2" s="10">
        <v>0</v>
      </c>
    </row>
    <row r="3" spans="1:45" ht="21" hidden="1" customHeight="1">
      <c r="A3" s="728"/>
      <c r="B3" s="728"/>
      <c r="C3" s="728"/>
      <c r="D3" s="728"/>
      <c r="E3" s="1310"/>
      <c r="F3" s="1309">
        <v>1</v>
      </c>
      <c r="G3" s="728"/>
      <c r="H3" s="728"/>
      <c r="I3" s="728"/>
      <c r="J3" s="728"/>
      <c r="K3" s="728"/>
      <c r="L3" s="751"/>
      <c r="M3" s="339"/>
      <c r="N3" s="339"/>
      <c r="O3" s="339"/>
      <c r="P3" s="56"/>
      <c r="Q3" s="201"/>
      <c r="R3" s="202"/>
      <c r="S3" s="706" t="e">
        <f>INDEX(PT_DIFFERENTIATION_NUM_TER,MATCH(B3,PT_DIFFERENTIATION_TER_ID,0))</f>
        <v>#N/A</v>
      </c>
      <c r="T3" s="174" t="s">
        <v>397</v>
      </c>
      <c r="U3" s="168"/>
      <c r="V3" s="1277"/>
      <c r="W3" s="1278"/>
      <c r="X3" s="1278"/>
      <c r="Y3" s="1278"/>
      <c r="Z3" s="1278"/>
      <c r="AA3" s="1278"/>
      <c r="AB3" s="1278"/>
      <c r="AC3" s="1279"/>
      <c r="AD3" s="1277" t="e">
        <f>INDEX(PT_DIFFERENTIATION_TER,MATCH(B3,PT_DIFFERENTIATION_TER_ID,0))</f>
        <v>#N/A</v>
      </c>
      <c r="AE3" s="1278"/>
      <c r="AF3" s="1278"/>
      <c r="AG3" s="1278"/>
      <c r="AH3" s="1278"/>
      <c r="AI3" s="1278"/>
      <c r="AJ3" s="1278"/>
      <c r="AK3" s="1278"/>
      <c r="AL3" s="1279"/>
      <c r="AM3" s="726" t="s">
        <v>398</v>
      </c>
      <c r="AO3" s="66"/>
      <c r="AP3" s="66" t="str">
        <f t="shared" si="0"/>
        <v>Территория действия тарифа</v>
      </c>
      <c r="AQ3" s="66"/>
      <c r="AR3" s="66"/>
      <c r="AS3" s="10">
        <v>0</v>
      </c>
    </row>
    <row r="4" spans="1:45" ht="23.25" hidden="1" customHeight="1">
      <c r="A4" s="728"/>
      <c r="B4" s="728"/>
      <c r="C4" s="728"/>
      <c r="D4" s="728"/>
      <c r="E4" s="1310"/>
      <c r="F4" s="1310"/>
      <c r="G4" s="1309">
        <v>1</v>
      </c>
      <c r="H4" s="728"/>
      <c r="I4" s="728"/>
      <c r="J4" s="728"/>
      <c r="K4" s="728"/>
      <c r="L4" s="751"/>
      <c r="M4" s="339"/>
      <c r="N4" s="339"/>
      <c r="O4" s="339"/>
      <c r="P4" s="203"/>
      <c r="Q4" s="201"/>
      <c r="R4" s="202"/>
      <c r="S4" s="706" t="e">
        <f>INDEX(PT_DIFFERENTIATION_NUM_CS,MATCH(C4,PT_DIFFERENTIATION_CS_ID,0))</f>
        <v>#N/A</v>
      </c>
      <c r="T4" s="175" t="s">
        <v>399</v>
      </c>
      <c r="U4" s="168"/>
      <c r="V4" s="1277"/>
      <c r="W4" s="1278"/>
      <c r="X4" s="1278"/>
      <c r="Y4" s="1278"/>
      <c r="Z4" s="1278"/>
      <c r="AA4" s="1278"/>
      <c r="AB4" s="1278"/>
      <c r="AC4" s="1279"/>
      <c r="AD4" s="1277" t="e">
        <f>INDEX(PT_DIFFERENTIATION_CS,MATCH(C4,PT_DIFFERENTIATION_CS_ID,0))</f>
        <v>#N/A</v>
      </c>
      <c r="AE4" s="1278"/>
      <c r="AF4" s="1278"/>
      <c r="AG4" s="1278"/>
      <c r="AH4" s="1278"/>
      <c r="AI4" s="1278"/>
      <c r="AJ4" s="1278"/>
      <c r="AK4" s="1278"/>
      <c r="AL4" s="1279"/>
      <c r="AM4" s="726" t="s">
        <v>400</v>
      </c>
      <c r="AO4" s="66"/>
      <c r="AP4" s="66" t="str">
        <f t="shared" si="0"/>
        <v xml:space="preserve">Наименование системы теплоснабжения </v>
      </c>
      <c r="AQ4" s="66"/>
      <c r="AR4" s="66"/>
      <c r="AS4" s="10">
        <v>0</v>
      </c>
    </row>
    <row r="5" spans="1:45" ht="21" hidden="1" customHeight="1">
      <c r="A5" s="728"/>
      <c r="B5" s="728"/>
      <c r="C5" s="728"/>
      <c r="D5" s="728"/>
      <c r="E5" s="1310"/>
      <c r="F5" s="1310"/>
      <c r="G5" s="1310"/>
      <c r="H5" s="1309">
        <v>1</v>
      </c>
      <c r="I5" s="728"/>
      <c r="J5" s="728"/>
      <c r="K5" s="728"/>
      <c r="L5" s="751"/>
      <c r="M5" s="339"/>
      <c r="N5" s="339"/>
      <c r="O5" s="339"/>
      <c r="P5" s="203"/>
      <c r="Q5" s="201"/>
      <c r="R5" s="202"/>
      <c r="S5" s="706" t="e">
        <f>INDEX(PT_DIFFERENTIATION_NUM_IST_TE,MATCH(D5,PT_DIFFERENTIATION_IST_TE_ID,0))</f>
        <v>#N/A</v>
      </c>
      <c r="T5" s="176" t="s">
        <v>401</v>
      </c>
      <c r="U5" s="168"/>
      <c r="V5" s="1277"/>
      <c r="W5" s="1278"/>
      <c r="X5" s="1278"/>
      <c r="Y5" s="1278"/>
      <c r="Z5" s="1278"/>
      <c r="AA5" s="1278"/>
      <c r="AB5" s="1278"/>
      <c r="AC5" s="1279"/>
      <c r="AD5" s="1277" t="e">
        <f>INDEX(PT_DIFFERENTIATION_IST_TE,MATCH(D5,PT_DIFFERENTIATION_IST_TE_ID,0))</f>
        <v>#N/A</v>
      </c>
      <c r="AE5" s="1278"/>
      <c r="AF5" s="1278"/>
      <c r="AG5" s="1278"/>
      <c r="AH5" s="1278"/>
      <c r="AI5" s="1278"/>
      <c r="AJ5" s="1278"/>
      <c r="AK5" s="1278"/>
      <c r="AL5" s="1279"/>
      <c r="AM5" s="726" t="s">
        <v>402</v>
      </c>
      <c r="AO5" s="66"/>
      <c r="AP5" s="66" t="str">
        <f t="shared" si="0"/>
        <v xml:space="preserve">Источник тепловой энергии  </v>
      </c>
      <c r="AQ5" s="66"/>
      <c r="AR5" s="66"/>
      <c r="AS5" s="10">
        <v>0</v>
      </c>
    </row>
    <row r="6" spans="1:45" ht="47.25" hidden="1" customHeight="1">
      <c r="A6" s="728"/>
      <c r="B6" s="728"/>
      <c r="C6" s="728"/>
      <c r="D6" s="728"/>
      <c r="E6" s="1310"/>
      <c r="F6" s="1310"/>
      <c r="G6" s="1310"/>
      <c r="H6" s="1310"/>
      <c r="I6" s="1146" t="e">
        <f>S5&amp;".1"</f>
        <v>#N/A</v>
      </c>
      <c r="J6" s="728"/>
      <c r="K6" s="728"/>
      <c r="L6" s="751" t="s">
        <v>403</v>
      </c>
      <c r="M6" s="10"/>
      <c r="P6" s="1287">
        <v>1</v>
      </c>
      <c r="Q6" s="119"/>
      <c r="R6" s="205"/>
      <c r="S6" s="706" t="e">
        <f>$I6</f>
        <v>#N/A</v>
      </c>
      <c r="T6" s="161" t="s">
        <v>404</v>
      </c>
      <c r="U6" s="168"/>
      <c r="V6" s="1271"/>
      <c r="W6" s="1272"/>
      <c r="X6" s="1272"/>
      <c r="Y6" s="1272"/>
      <c r="Z6" s="1272"/>
      <c r="AA6" s="1272"/>
      <c r="AB6" s="1272"/>
      <c r="AC6" s="1273"/>
      <c r="AD6" s="1271"/>
      <c r="AE6" s="1272"/>
      <c r="AF6" s="1272"/>
      <c r="AG6" s="1272"/>
      <c r="AH6" s="1272"/>
      <c r="AI6" s="1272"/>
      <c r="AJ6" s="1272"/>
      <c r="AK6" s="1272"/>
      <c r="AL6" s="1273"/>
      <c r="AM6" s="726" t="s">
        <v>405</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28"/>
      <c r="B7" s="728"/>
      <c r="C7" s="728"/>
      <c r="D7" s="728"/>
      <c r="E7" s="1310"/>
      <c r="F7" s="1310"/>
      <c r="G7" s="1310"/>
      <c r="H7" s="1310"/>
      <c r="I7" s="1128"/>
      <c r="J7" s="1146" t="e">
        <f>I6&amp;".1"</f>
        <v>#N/A</v>
      </c>
      <c r="K7" s="728"/>
      <c r="L7" s="751" t="s">
        <v>406</v>
      </c>
      <c r="M7" s="10"/>
      <c r="N7" s="10"/>
      <c r="P7" s="1287"/>
      <c r="Q7" s="1287">
        <v>1</v>
      </c>
      <c r="R7" s="206"/>
      <c r="S7" s="706" t="e">
        <f>$J7</f>
        <v>#N/A</v>
      </c>
      <c r="T7" s="162" t="s">
        <v>407</v>
      </c>
      <c r="U7" s="168"/>
      <c r="V7" s="1271"/>
      <c r="W7" s="1272"/>
      <c r="X7" s="1272"/>
      <c r="Y7" s="1272"/>
      <c r="Z7" s="1272"/>
      <c r="AA7" s="1272"/>
      <c r="AB7" s="1272"/>
      <c r="AC7" s="1273"/>
      <c r="AD7" s="1271"/>
      <c r="AE7" s="1272"/>
      <c r="AF7" s="1272"/>
      <c r="AG7" s="1272"/>
      <c r="AH7" s="1272"/>
      <c r="AI7" s="1272"/>
      <c r="AJ7" s="1272"/>
      <c r="AK7" s="1272"/>
      <c r="AL7" s="1273"/>
      <c r="AM7" s="726" t="s">
        <v>408</v>
      </c>
      <c r="AO7" s="66"/>
      <c r="AP7" s="66" t="str">
        <f t="shared" si="0"/>
        <v>Группа потребителей</v>
      </c>
      <c r="AQ7" s="66"/>
      <c r="AR7" s="66"/>
      <c r="AS7" s="10">
        <v>0</v>
      </c>
    </row>
    <row r="8" spans="1:45" ht="21" hidden="1" customHeight="1">
      <c r="A8" s="728"/>
      <c r="B8" s="728"/>
      <c r="C8" s="728"/>
      <c r="D8" s="728"/>
      <c r="E8" s="1310"/>
      <c r="F8" s="1310"/>
      <c r="G8" s="1310"/>
      <c r="H8" s="1310"/>
      <c r="I8" s="1128"/>
      <c r="J8" s="1128"/>
      <c r="K8" s="1146" t="e">
        <f>J7&amp;".1"</f>
        <v>#N/A</v>
      </c>
      <c r="L8" s="751" t="s">
        <v>409</v>
      </c>
      <c r="M8" s="10"/>
      <c r="N8" s="10"/>
      <c r="O8" s="10"/>
      <c r="P8" s="1287"/>
      <c r="Q8" s="1287"/>
      <c r="R8" s="206">
        <v>1</v>
      </c>
      <c r="S8" s="706" t="e">
        <f>$K8</f>
        <v>#N/A</v>
      </c>
      <c r="T8" s="762"/>
      <c r="U8" s="168"/>
      <c r="V8" s="303"/>
      <c r="W8" s="188"/>
      <c r="X8" s="303"/>
      <c r="Y8" s="725"/>
      <c r="Z8" s="1288"/>
      <c r="AA8" s="1156" t="s">
        <v>64</v>
      </c>
      <c r="AB8" s="1288"/>
      <c r="AC8" s="1156" t="s">
        <v>64</v>
      </c>
      <c r="AD8" s="303"/>
      <c r="AE8" s="188"/>
      <c r="AF8" s="303"/>
      <c r="AG8" s="725"/>
      <c r="AH8" s="1288"/>
      <c r="AI8" s="1156" t="s">
        <v>64</v>
      </c>
      <c r="AJ8" s="1288"/>
      <c r="AK8" s="1156" t="s">
        <v>64</v>
      </c>
      <c r="AL8" s="188"/>
      <c r="AM8" s="1306" t="s">
        <v>410</v>
      </c>
      <c r="AN8" s="65" t="e">
        <f ca="1">STRCHECKDATE(V9:AL9)</f>
        <v>#NAME?</v>
      </c>
      <c r="AO8" s="66"/>
      <c r="AP8" s="66" t="str">
        <f t="shared" si="0"/>
        <v/>
      </c>
      <c r="AQ8" s="66"/>
      <c r="AR8" s="66"/>
      <c r="AS8" s="10">
        <v>0</v>
      </c>
    </row>
    <row r="9" spans="1:45" ht="0.75" hidden="1" customHeight="1">
      <c r="A9" s="728"/>
      <c r="B9" s="728"/>
      <c r="C9" s="728"/>
      <c r="D9" s="728"/>
      <c r="E9" s="1310"/>
      <c r="F9" s="1310"/>
      <c r="G9" s="1310"/>
      <c r="H9" s="1310"/>
      <c r="I9" s="1128"/>
      <c r="J9" s="1128"/>
      <c r="K9" s="1146"/>
      <c r="L9" s="751"/>
      <c r="M9" s="10"/>
      <c r="N9" s="10"/>
      <c r="O9" s="10"/>
      <c r="P9" s="1287"/>
      <c r="Q9" s="1287"/>
      <c r="R9" s="206"/>
      <c r="S9" s="62"/>
      <c r="T9" s="168"/>
      <c r="U9" s="168"/>
      <c r="V9" s="188"/>
      <c r="W9" s="188"/>
      <c r="X9" s="188"/>
      <c r="Y9" s="189" t="str">
        <f>Z8&amp;"-"&amp;AB8</f>
        <v>-</v>
      </c>
      <c r="Z9" s="1289"/>
      <c r="AA9" s="1156"/>
      <c r="AB9" s="1289"/>
      <c r="AC9" s="1156"/>
      <c r="AD9" s="188"/>
      <c r="AE9" s="188"/>
      <c r="AF9" s="188"/>
      <c r="AG9" s="189" t="str">
        <f>AH8&amp;"-"&amp;AJ8</f>
        <v>-</v>
      </c>
      <c r="AH9" s="1289"/>
      <c r="AI9" s="1156"/>
      <c r="AJ9" s="1289"/>
      <c r="AK9" s="1156"/>
      <c r="AL9" s="188"/>
      <c r="AM9" s="1307"/>
      <c r="AO9" s="66"/>
      <c r="AP9" s="66" t="str">
        <f t="shared" si="0"/>
        <v/>
      </c>
      <c r="AQ9" s="66"/>
      <c r="AR9" s="66"/>
      <c r="AS9" s="10">
        <v>0</v>
      </c>
    </row>
    <row r="10" spans="1:45" ht="15" hidden="1" customHeight="1">
      <c r="A10" s="728"/>
      <c r="B10" s="728"/>
      <c r="C10" s="728"/>
      <c r="D10" s="728"/>
      <c r="E10" s="1310"/>
      <c r="F10" s="1310"/>
      <c r="G10" s="1310"/>
      <c r="H10" s="1310"/>
      <c r="I10" s="1128"/>
      <c r="J10" s="1146"/>
      <c r="K10" s="728"/>
      <c r="L10" s="751"/>
      <c r="M10" s="10"/>
      <c r="N10" s="10"/>
      <c r="P10" s="1287"/>
      <c r="Q10" s="1287"/>
      <c r="R10" s="205"/>
      <c r="S10" s="739"/>
      <c r="T10" s="164" t="s">
        <v>411</v>
      </c>
      <c r="U10" s="210"/>
      <c r="V10" s="210"/>
      <c r="W10" s="210"/>
      <c r="X10" s="210"/>
      <c r="Y10" s="210"/>
      <c r="Z10" s="210"/>
      <c r="AA10" s="210"/>
      <c r="AB10" s="210"/>
      <c r="AC10" s="210"/>
      <c r="AD10" s="210"/>
      <c r="AE10" s="210"/>
      <c r="AF10" s="210"/>
      <c r="AG10" s="210"/>
      <c r="AH10" s="210"/>
      <c r="AI10" s="210"/>
      <c r="AJ10" s="210"/>
      <c r="AK10" s="210"/>
      <c r="AL10" s="187"/>
      <c r="AM10" s="1308"/>
      <c r="AO10" s="66"/>
      <c r="AP10" s="66" t="str">
        <f t="shared" si="0"/>
        <v>Добавить вид теплоносителя (параметры теплоносителя)</v>
      </c>
      <c r="AQ10" s="66"/>
      <c r="AR10" s="66"/>
      <c r="AS10" s="10">
        <v>0</v>
      </c>
    </row>
    <row r="11" spans="1:45" ht="15" hidden="1" customHeight="1">
      <c r="A11" s="728"/>
      <c r="B11" s="728"/>
      <c r="C11" s="728"/>
      <c r="D11" s="728"/>
      <c r="E11" s="1310"/>
      <c r="F11" s="1310"/>
      <c r="G11" s="1310"/>
      <c r="H11" s="1310"/>
      <c r="I11" s="1146"/>
      <c r="J11" s="728"/>
      <c r="K11" s="728"/>
      <c r="L11" s="751"/>
      <c r="M11" s="10"/>
      <c r="P11" s="1287"/>
      <c r="Q11" s="119"/>
      <c r="R11" s="205"/>
      <c r="S11" s="739"/>
      <c r="T11" s="163" t="s">
        <v>412</v>
      </c>
      <c r="U11" s="210"/>
      <c r="V11" s="210"/>
      <c r="W11" s="210"/>
      <c r="X11" s="210"/>
      <c r="Y11" s="210"/>
      <c r="Z11" s="210"/>
      <c r="AA11" s="210"/>
      <c r="AB11" s="210"/>
      <c r="AC11" s="209"/>
      <c r="AD11" s="210"/>
      <c r="AE11" s="210"/>
      <c r="AF11" s="210"/>
      <c r="AG11" s="210"/>
      <c r="AH11" s="210"/>
      <c r="AI11" s="210"/>
      <c r="AJ11" s="210"/>
      <c r="AK11" s="209"/>
      <c r="AL11" s="210"/>
      <c r="AM11" s="171"/>
      <c r="AO11" s="66"/>
      <c r="AP11" s="66" t="str">
        <f t="shared" si="0"/>
        <v>Добавить группу потребителей</v>
      </c>
      <c r="AQ11" s="66"/>
      <c r="AR11" s="66"/>
      <c r="AS11" s="10">
        <v>0</v>
      </c>
    </row>
    <row r="12" spans="1:45" ht="14.25" hidden="1" customHeight="1">
      <c r="A12" s="728"/>
      <c r="B12" s="728"/>
      <c r="C12" s="728"/>
      <c r="D12" s="728"/>
      <c r="E12" s="1310"/>
      <c r="F12" s="1310"/>
      <c r="G12" s="1310"/>
      <c r="H12" s="1309"/>
      <c r="I12" s="728"/>
      <c r="J12" s="728"/>
      <c r="K12" s="728"/>
      <c r="L12" s="751"/>
      <c r="M12" s="339"/>
      <c r="N12" s="339"/>
      <c r="O12" s="10"/>
      <c r="P12" s="33"/>
      <c r="Q12" s="213"/>
      <c r="R12" s="204"/>
      <c r="S12" s="739"/>
      <c r="T12" s="208" t="s">
        <v>413</v>
      </c>
      <c r="U12" s="210"/>
      <c r="V12" s="210"/>
      <c r="W12" s="210"/>
      <c r="X12" s="210"/>
      <c r="Y12" s="210"/>
      <c r="Z12" s="210"/>
      <c r="AA12" s="210"/>
      <c r="AB12" s="210"/>
      <c r="AC12" s="209"/>
      <c r="AD12" s="210"/>
      <c r="AE12" s="210"/>
      <c r="AF12" s="210"/>
      <c r="AG12" s="210"/>
      <c r="AH12" s="210"/>
      <c r="AI12" s="210"/>
      <c r="AJ12" s="210"/>
      <c r="AK12" s="209"/>
      <c r="AL12" s="210"/>
      <c r="AM12" s="171"/>
      <c r="AO12" s="66"/>
      <c r="AP12" s="66" t="str">
        <f t="shared" si="0"/>
        <v>Добавить схему подключения</v>
      </c>
      <c r="AQ12" s="66"/>
      <c r="AR12" s="66"/>
      <c r="AS12" s="10">
        <v>0</v>
      </c>
    </row>
    <row r="13" spans="1:45" s="65" customFormat="1" ht="0.75" hidden="1" customHeight="1">
      <c r="A13" s="728"/>
      <c r="B13" s="728"/>
      <c r="C13" s="728"/>
      <c r="D13" s="728"/>
      <c r="E13" s="1310"/>
      <c r="F13" s="1310"/>
      <c r="G13" s="1309"/>
      <c r="H13" s="728"/>
      <c r="I13" s="728"/>
      <c r="J13" s="728"/>
      <c r="K13" s="728"/>
      <c r="L13" s="751"/>
      <c r="M13" s="339"/>
      <c r="N13" s="339"/>
      <c r="O13" s="10"/>
      <c r="P13" s="101"/>
      <c r="Q13" s="752"/>
      <c r="R13" s="101"/>
      <c r="S13" s="753"/>
      <c r="T13" s="754" t="s">
        <v>414</v>
      </c>
      <c r="U13" s="755"/>
      <c r="V13" s="755"/>
      <c r="W13" s="755"/>
      <c r="X13" s="755"/>
      <c r="Y13" s="755"/>
      <c r="Z13" s="755"/>
      <c r="AA13" s="755"/>
      <c r="AB13" s="755"/>
      <c r="AC13" s="755"/>
      <c r="AD13" s="755"/>
      <c r="AE13" s="755"/>
      <c r="AF13" s="755"/>
      <c r="AG13" s="755"/>
      <c r="AH13" s="755"/>
      <c r="AI13" s="755"/>
      <c r="AJ13" s="755"/>
      <c r="AK13" s="755"/>
      <c r="AL13" s="755"/>
      <c r="AM13" s="755"/>
      <c r="AO13" s="66"/>
      <c r="AP13" s="66" t="str">
        <f t="shared" si="0"/>
        <v>Добавить источник для дифференциации</v>
      </c>
      <c r="AQ13" s="66"/>
      <c r="AR13" s="66"/>
      <c r="AS13" s="65">
        <v>0</v>
      </c>
    </row>
    <row r="14" spans="1:45" s="65" customFormat="1" ht="0.75" hidden="1" customHeight="1">
      <c r="A14" s="728"/>
      <c r="B14" s="728"/>
      <c r="C14" s="728"/>
      <c r="D14" s="728"/>
      <c r="E14" s="1310"/>
      <c r="F14" s="1309"/>
      <c r="G14" s="728"/>
      <c r="H14" s="728"/>
      <c r="I14" s="728"/>
      <c r="J14" s="728"/>
      <c r="K14" s="728"/>
      <c r="L14" s="751"/>
      <c r="M14" s="1049"/>
      <c r="N14" s="1049"/>
      <c r="O14" s="10"/>
      <c r="P14" s="101"/>
      <c r="Q14" s="752"/>
      <c r="R14" s="101"/>
      <c r="S14" s="757"/>
      <c r="T14" s="758" t="s">
        <v>231</v>
      </c>
      <c r="U14" s="310"/>
      <c r="V14" s="310"/>
      <c r="W14" s="310"/>
      <c r="X14" s="310"/>
      <c r="Y14" s="310"/>
      <c r="Z14" s="310"/>
      <c r="AA14" s="310"/>
      <c r="AB14" s="310"/>
      <c r="AC14" s="310"/>
      <c r="AD14" s="310"/>
      <c r="AE14" s="310"/>
      <c r="AF14" s="310"/>
      <c r="AG14" s="310"/>
      <c r="AH14" s="310"/>
      <c r="AI14" s="310"/>
      <c r="AJ14" s="310"/>
      <c r="AK14" s="310"/>
      <c r="AL14" s="310"/>
      <c r="AM14" s="310"/>
      <c r="AO14" s="66"/>
      <c r="AP14" s="66" t="str">
        <f t="shared" si="0"/>
        <v>Добавить централизованную систему для дифференциации</v>
      </c>
      <c r="AQ14" s="66"/>
      <c r="AR14" s="66"/>
      <c r="AS14" s="65">
        <v>0</v>
      </c>
    </row>
    <row r="15" spans="1:45" s="65" customFormat="1" ht="0.75" hidden="1" customHeight="1">
      <c r="A15" s="728"/>
      <c r="B15" s="728"/>
      <c r="C15" s="728"/>
      <c r="D15" s="728"/>
      <c r="E15" s="1309"/>
      <c r="F15" s="728"/>
      <c r="G15" s="728"/>
      <c r="H15" s="728"/>
      <c r="I15" s="728"/>
      <c r="J15" s="728"/>
      <c r="K15" s="728"/>
      <c r="L15" s="751"/>
      <c r="M15" s="1049"/>
      <c r="N15" s="1049"/>
      <c r="O15" s="10"/>
      <c r="P15" s="101"/>
      <c r="Q15" s="752"/>
      <c r="R15" s="101"/>
      <c r="S15" s="757"/>
      <c r="T15" s="759" t="s">
        <v>232</v>
      </c>
      <c r="U15" s="310"/>
      <c r="V15" s="310"/>
      <c r="W15" s="310"/>
      <c r="X15" s="310"/>
      <c r="Y15" s="310"/>
      <c r="Z15" s="310"/>
      <c r="AA15" s="310"/>
      <c r="AB15" s="310"/>
      <c r="AC15" s="310"/>
      <c r="AD15" s="310"/>
      <c r="AE15" s="310"/>
      <c r="AF15" s="310"/>
      <c r="AG15" s="310"/>
      <c r="AH15" s="310"/>
      <c r="AI15" s="310"/>
      <c r="AJ15" s="310"/>
      <c r="AK15" s="310"/>
      <c r="AL15" s="310"/>
      <c r="AM15" s="310"/>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5"/>
      <c r="AE17" s="365"/>
      <c r="AF17" s="365"/>
      <c r="AG17" s="765"/>
      <c r="AH17" s="1281"/>
      <c r="AI17" s="1280" t="s">
        <v>64</v>
      </c>
      <c r="AJ17" s="1281"/>
      <c r="AK17" s="1280" t="s">
        <v>64</v>
      </c>
      <c r="AS17" s="10">
        <v>0</v>
      </c>
    </row>
    <row r="18" spans="1:45" ht="14.25" hidden="1" customHeight="1">
      <c r="AD18" s="365"/>
      <c r="AE18" s="365"/>
      <c r="AF18" s="365"/>
      <c r="AG18" s="189" t="str">
        <f>AH17&amp;"-"&amp;AJ17</f>
        <v>-</v>
      </c>
      <c r="AH18" s="1280"/>
      <c r="AI18" s="1280"/>
      <c r="AJ18" s="1280"/>
      <c r="AK18" s="1280"/>
      <c r="AS18" s="10">
        <v>0</v>
      </c>
    </row>
    <row r="19" spans="1:45" ht="14.25" hidden="1" customHeight="1">
      <c r="AS19" s="10">
        <v>0</v>
      </c>
    </row>
    <row r="20" spans="1:45" s="60" customFormat="1" ht="14.25" hidden="1" customHeight="1">
      <c r="A20" s="10"/>
      <c r="B20" s="10"/>
      <c r="C20" s="10"/>
      <c r="D20" s="10"/>
      <c r="E20" s="10"/>
      <c r="F20" s="10"/>
      <c r="G20" s="10"/>
      <c r="H20" s="10"/>
      <c r="I20" s="10"/>
      <c r="J20" s="10"/>
      <c r="K20" s="10"/>
      <c r="L20" s="56"/>
      <c r="M20" s="32"/>
      <c r="N20" s="32"/>
      <c r="O20" s="761" t="s">
        <v>415</v>
      </c>
      <c r="P20" s="503"/>
      <c r="Q20" s="769"/>
      <c r="R20" s="769"/>
      <c r="S20" s="423"/>
      <c r="Z20" s="768"/>
      <c r="AB20" s="768"/>
      <c r="AH20" s="768"/>
      <c r="AJ20" s="768"/>
      <c r="AN20" s="65"/>
      <c r="AO20" s="65"/>
      <c r="AP20" s="65"/>
      <c r="AQ20" s="65"/>
      <c r="AR20" s="65"/>
      <c r="AS20" s="60">
        <v>0</v>
      </c>
    </row>
    <row r="21" spans="1:45" s="60" customFormat="1" ht="14.25" hidden="1" customHeight="1">
      <c r="A21" s="10"/>
      <c r="B21" s="10"/>
      <c r="C21" s="10"/>
      <c r="D21" s="10"/>
      <c r="E21" s="10"/>
      <c r="F21" s="10"/>
      <c r="G21" s="10"/>
      <c r="H21" s="10"/>
      <c r="I21" s="10"/>
      <c r="J21" s="10"/>
      <c r="K21" s="10"/>
      <c r="L21" s="56"/>
      <c r="M21" s="32"/>
      <c r="N21" s="32"/>
      <c r="O21" s="32"/>
      <c r="P21" s="503"/>
      <c r="Q21" s="769"/>
      <c r="R21" s="769"/>
      <c r="S21" s="423"/>
      <c r="AN21" s="65"/>
      <c r="AO21" s="65"/>
      <c r="AP21" s="65"/>
      <c r="AQ21" s="65"/>
      <c r="AR21" s="65"/>
      <c r="AS21" s="60">
        <v>0</v>
      </c>
    </row>
    <row r="22" spans="1:45" s="60" customFormat="1" ht="14.25" hidden="1" customHeight="1">
      <c r="A22" s="10"/>
      <c r="B22" s="10"/>
      <c r="C22" s="10"/>
      <c r="D22" s="10"/>
      <c r="E22" s="10"/>
      <c r="F22" s="10"/>
      <c r="G22" s="10"/>
      <c r="H22" s="10"/>
      <c r="I22" s="10"/>
      <c r="J22" s="10"/>
      <c r="K22" s="10"/>
      <c r="L22" s="56"/>
      <c r="M22" s="32"/>
      <c r="N22" s="32"/>
      <c r="O22" s="751" t="s">
        <v>416</v>
      </c>
      <c r="P22" s="503"/>
      <c r="Q22" s="769"/>
      <c r="R22" s="769"/>
      <c r="S22" s="423"/>
      <c r="T22" s="60" t="s">
        <v>417</v>
      </c>
      <c r="AA22" s="79" t="s">
        <v>418</v>
      </c>
      <c r="AC22" s="79" t="s">
        <v>419</v>
      </c>
      <c r="AD22" s="60" t="s">
        <v>417</v>
      </c>
      <c r="AI22" s="79" t="s">
        <v>420</v>
      </c>
      <c r="AK22" s="79" t="s">
        <v>419</v>
      </c>
      <c r="AN22" s="65"/>
      <c r="AO22" s="65"/>
      <c r="AP22" s="65"/>
      <c r="AQ22" s="65"/>
      <c r="AR22" s="65"/>
      <c r="AS22" s="60">
        <v>0</v>
      </c>
    </row>
    <row r="23" spans="1:45" ht="14.25" hidden="1" customHeight="1">
      <c r="O23" s="751"/>
      <c r="AS23" s="10">
        <v>0</v>
      </c>
    </row>
    <row r="24" spans="1:45" ht="14.25" hidden="1" customHeight="1">
      <c r="O24" s="751"/>
      <c r="AS24" s="10">
        <v>0</v>
      </c>
    </row>
    <row r="25" spans="1:45" ht="14.65" customHeight="1">
      <c r="Q25" s="27"/>
      <c r="R25" s="27"/>
      <c r="S25" s="736"/>
      <c r="T25" s="9"/>
      <c r="U25" s="9"/>
      <c r="AS25" s="10">
        <v>14</v>
      </c>
    </row>
    <row r="26" spans="1:45" ht="14.65" customHeight="1">
      <c r="Q26" s="27"/>
      <c r="R26" s="27"/>
      <c r="S26" s="1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4"/>
      <c r="U26" s="1264"/>
      <c r="V26" s="1264"/>
      <c r="W26" s="1264"/>
      <c r="X26" s="1264"/>
      <c r="Y26" s="1264"/>
      <c r="Z26" s="1264"/>
      <c r="AA26" s="1264"/>
      <c r="AB26" s="1264"/>
      <c r="AC26" s="1264"/>
      <c r="AD26" s="1264"/>
      <c r="AE26" s="1264"/>
      <c r="AF26" s="1264"/>
      <c r="AG26" s="1264"/>
      <c r="AH26" s="1264"/>
      <c r="AI26" s="1264"/>
      <c r="AJ26" s="1264"/>
      <c r="AK26" s="57"/>
      <c r="AS26" s="10">
        <v>14</v>
      </c>
    </row>
    <row r="27" spans="1:45" ht="14.65" customHeight="1">
      <c r="Q27" s="27"/>
      <c r="R27" s="27"/>
      <c r="S27" s="1236" t="str">
        <f>IF(org=0,"Не определено",org)</f>
        <v>Общество с ограниченной ответственностью "Березовский рудник"</v>
      </c>
      <c r="T27" s="1236"/>
      <c r="U27" s="1236"/>
      <c r="V27" s="1236"/>
      <c r="W27" s="1236"/>
      <c r="X27" s="1236"/>
      <c r="Y27" s="1236"/>
      <c r="Z27" s="1236"/>
      <c r="AA27" s="1236"/>
      <c r="AB27" s="1236"/>
      <c r="AC27" s="1236"/>
      <c r="AD27" s="1236"/>
      <c r="AE27" s="1236"/>
      <c r="AF27" s="1236"/>
      <c r="AG27" s="1236"/>
      <c r="AH27" s="1236"/>
      <c r="AI27" s="1236"/>
      <c r="AJ27" s="1236"/>
      <c r="AK27" s="57"/>
      <c r="AS27" s="10">
        <v>14</v>
      </c>
    </row>
    <row r="28" spans="1:45" ht="14.25" hidden="1" customHeight="1">
      <c r="Q28" s="27"/>
      <c r="R28" s="27"/>
      <c r="S28" s="736"/>
      <c r="T28" s="9"/>
      <c r="U28" s="9"/>
      <c r="V28" s="186"/>
      <c r="W28" s="186"/>
      <c r="X28" s="186"/>
      <c r="Y28" s="186"/>
      <c r="Z28" s="186"/>
      <c r="AA28" s="186"/>
      <c r="AB28" s="186"/>
      <c r="AC28" s="186"/>
      <c r="AD28" s="186"/>
      <c r="AE28" s="186"/>
      <c r="AF28" s="186"/>
      <c r="AG28" s="186"/>
      <c r="AH28" s="186"/>
      <c r="AI28" s="186"/>
      <c r="AJ28" s="186"/>
      <c r="AK28" s="186"/>
      <c r="AS28" s="10">
        <v>0</v>
      </c>
    </row>
    <row r="29" spans="1:45" s="34" customFormat="1" ht="25.5" hidden="1" customHeight="1">
      <c r="A29" s="16"/>
      <c r="B29" s="16"/>
      <c r="C29" s="16"/>
      <c r="D29" s="16"/>
      <c r="E29" s="16"/>
      <c r="F29" s="16"/>
      <c r="G29" s="16"/>
      <c r="H29" s="16"/>
      <c r="I29" s="16"/>
      <c r="J29" s="16"/>
      <c r="K29" s="16"/>
      <c r="L29" s="751"/>
      <c r="M29" s="16"/>
      <c r="N29" s="16"/>
      <c r="O29" s="16"/>
      <c r="S29" s="1274" t="s">
        <v>41</v>
      </c>
      <c r="T29" s="1274"/>
      <c r="U29" s="770"/>
      <c r="V29" s="1276" t="str">
        <f>IF(TITLE_NAME_OR_PR_CHANGE="",IF(TITLE_NAME_OR_PR="","",TITLE_NAME_OR_PR),TITLE_NAME_OR_PR_CHANGE)</f>
        <v/>
      </c>
      <c r="W29" s="1276"/>
      <c r="X29" s="1276"/>
      <c r="Y29" s="1276"/>
      <c r="Z29" s="1276"/>
      <c r="AA29" s="1276"/>
      <c r="AB29" s="1276"/>
      <c r="AC29" s="10"/>
      <c r="AD29" s="1276" t="str">
        <f>IF(TITLE_NAME_OR_PR_CHANGE="",IF(TITLE_NAME_OR_PR="","",TITLE_NAME_OR_PR),TITLE_NAME_OR_PR_CHANGE)</f>
        <v/>
      </c>
      <c r="AE29" s="1276"/>
      <c r="AF29" s="1276"/>
      <c r="AG29" s="1276"/>
      <c r="AH29" s="1276"/>
      <c r="AI29" s="1276"/>
      <c r="AJ29" s="1276"/>
      <c r="AK29" s="10"/>
      <c r="AL29" s="10"/>
      <c r="AM29" s="160"/>
      <c r="AN29" s="66"/>
      <c r="AO29" s="66"/>
      <c r="AP29" s="66"/>
      <c r="AQ29" s="66"/>
      <c r="AR29" s="66"/>
      <c r="AS29" s="34">
        <v>0</v>
      </c>
    </row>
    <row r="30" spans="1:45" s="34" customFormat="1" ht="18.75" hidden="1" customHeight="1">
      <c r="A30" s="16"/>
      <c r="B30" s="16"/>
      <c r="C30" s="16"/>
      <c r="D30" s="16"/>
      <c r="E30" s="16"/>
      <c r="F30" s="16"/>
      <c r="G30" s="16"/>
      <c r="H30" s="16"/>
      <c r="I30" s="16"/>
      <c r="J30" s="16"/>
      <c r="K30" s="16"/>
      <c r="L30" s="751"/>
      <c r="M30" s="16"/>
      <c r="N30" s="16"/>
      <c r="O30" s="16"/>
      <c r="S30" s="1274" t="s">
        <v>421</v>
      </c>
      <c r="T30" s="1274"/>
      <c r="U30" s="770"/>
      <c r="V30" s="1275">
        <f>IF(TITLE_DATE_PR_CHANGE="",IF(TITLE_DATE_PR="","",TITLE_DATE_PR),TITLE_DATE_PR_CHANGE)</f>
        <v>45805</v>
      </c>
      <c r="W30" s="1275"/>
      <c r="X30" s="1275"/>
      <c r="Y30" s="1275"/>
      <c r="Z30" s="1275"/>
      <c r="AA30" s="1275"/>
      <c r="AB30" s="1275"/>
      <c r="AC30" s="10"/>
      <c r="AD30" s="1275">
        <f>IF(TITLE_DATE_PR_CHANGE="",IF(TITLE_DATE_PR="","",TITLE_DATE_PR),TITLE_DATE_PR_CHANGE)</f>
        <v>45805</v>
      </c>
      <c r="AE30" s="1275"/>
      <c r="AF30" s="1275"/>
      <c r="AG30" s="1275"/>
      <c r="AH30" s="1275"/>
      <c r="AI30" s="1275"/>
      <c r="AJ30" s="1275"/>
      <c r="AK30" s="10"/>
      <c r="AL30" s="10"/>
      <c r="AM30" s="160"/>
      <c r="AN30" s="66"/>
      <c r="AO30" s="66"/>
      <c r="AP30" s="66"/>
      <c r="AQ30" s="66"/>
      <c r="AR30" s="66"/>
      <c r="AS30" s="34">
        <v>0</v>
      </c>
    </row>
    <row r="31" spans="1:45" s="34" customFormat="1" ht="18.75" hidden="1" customHeight="1">
      <c r="A31" s="16"/>
      <c r="B31" s="16"/>
      <c r="C31" s="16"/>
      <c r="D31" s="16"/>
      <c r="E31" s="16"/>
      <c r="F31" s="16"/>
      <c r="G31" s="16"/>
      <c r="H31" s="16"/>
      <c r="I31" s="16"/>
      <c r="J31" s="16"/>
      <c r="K31" s="16"/>
      <c r="L31" s="751"/>
      <c r="M31" s="16"/>
      <c r="N31" s="16"/>
      <c r="O31" s="16"/>
      <c r="S31" s="1274" t="s">
        <v>422</v>
      </c>
      <c r="T31" s="1274"/>
      <c r="U31" s="770"/>
      <c r="V31" s="1276" t="str">
        <f>IF(TITLE_NUMBER_PR_CHANGE="",IF(TITLE_NUMBER_PR="","",TITLE_NUMBER_PR),TITLE_NUMBER_PR_CHANGE)</f>
        <v>2496</v>
      </c>
      <c r="W31" s="1276"/>
      <c r="X31" s="1276"/>
      <c r="Y31" s="1276"/>
      <c r="Z31" s="1276"/>
      <c r="AA31" s="1276"/>
      <c r="AB31" s="1276"/>
      <c r="AC31" s="10"/>
      <c r="AD31" s="1276" t="str">
        <f>IF(TITLE_NUMBER_PR_CHANGE="",IF(TITLE_NUMBER_PR="","",TITLE_NUMBER_PR),TITLE_NUMBER_PR_CHANGE)</f>
        <v>2496</v>
      </c>
      <c r="AE31" s="1276"/>
      <c r="AF31" s="1276"/>
      <c r="AG31" s="1276"/>
      <c r="AH31" s="1276"/>
      <c r="AI31" s="1276"/>
      <c r="AJ31" s="1276"/>
      <c r="AK31" s="10"/>
      <c r="AL31" s="10"/>
      <c r="AM31" s="160"/>
      <c r="AN31" s="66"/>
      <c r="AO31" s="66"/>
      <c r="AP31" s="66"/>
      <c r="AQ31" s="66"/>
      <c r="AR31" s="66"/>
      <c r="AS31" s="34">
        <v>0</v>
      </c>
    </row>
    <row r="32" spans="1:45" s="34" customFormat="1" ht="18.75" hidden="1" customHeight="1">
      <c r="A32" s="16"/>
      <c r="B32" s="16"/>
      <c r="C32" s="16"/>
      <c r="D32" s="16"/>
      <c r="E32" s="16"/>
      <c r="F32" s="16"/>
      <c r="G32" s="16"/>
      <c r="H32" s="16"/>
      <c r="I32" s="16"/>
      <c r="J32" s="16"/>
      <c r="K32" s="16"/>
      <c r="L32" s="751"/>
      <c r="M32" s="16"/>
      <c r="N32" s="16"/>
      <c r="O32" s="16"/>
      <c r="S32" s="1274" t="s">
        <v>42</v>
      </c>
      <c r="T32" s="1274"/>
      <c r="U32" s="770"/>
      <c r="V32" s="1276" t="str">
        <f>IF(TITLE_IST_PUB_CHANGE="",IF(TITLE_IST_PUB="","",TITLE_IST_PUB),TITLE_IST_PUB_CHANGE)</f>
        <v/>
      </c>
      <c r="W32" s="1276"/>
      <c r="X32" s="1276"/>
      <c r="Y32" s="1276"/>
      <c r="Z32" s="1276"/>
      <c r="AA32" s="1276"/>
      <c r="AB32" s="1276"/>
      <c r="AC32" s="10"/>
      <c r="AD32" s="1276" t="str">
        <f>IF(TITLE_IST_PUB_CHANGE="",IF(TITLE_IST_PUB="","",TITLE_IST_PUB),TITLE_IST_PUB_CHANGE)</f>
        <v/>
      </c>
      <c r="AE32" s="1276"/>
      <c r="AF32" s="1276"/>
      <c r="AG32" s="1276"/>
      <c r="AH32" s="1276"/>
      <c r="AI32" s="1276"/>
      <c r="AJ32" s="1276"/>
      <c r="AK32" s="10"/>
      <c r="AL32" s="10"/>
      <c r="AM32" s="160"/>
      <c r="AN32" s="66"/>
      <c r="AO32" s="66"/>
      <c r="AP32" s="66"/>
      <c r="AQ32" s="66"/>
      <c r="AR32" s="66"/>
      <c r="AS32" s="34">
        <v>0</v>
      </c>
    </row>
    <row r="33" spans="1:45" ht="14.25" hidden="1" customHeight="1">
      <c r="Q33" s="27"/>
      <c r="R33" s="27"/>
      <c r="S33" s="736"/>
      <c r="T33" s="9"/>
      <c r="U33" s="9"/>
      <c r="V33" s="186"/>
      <c r="W33" s="186"/>
      <c r="X33" s="186"/>
      <c r="Y33" s="186"/>
      <c r="Z33" s="186"/>
      <c r="AA33" s="186"/>
      <c r="AB33" s="186"/>
      <c r="AC33" s="186"/>
      <c r="AD33" s="186"/>
      <c r="AE33" s="186"/>
      <c r="AF33" s="186"/>
      <c r="AG33" s="186"/>
      <c r="AH33" s="186"/>
      <c r="AI33" s="186"/>
      <c r="AJ33" s="186"/>
      <c r="AK33" s="186"/>
      <c r="AS33" s="10">
        <v>0</v>
      </c>
    </row>
    <row r="34" spans="1:45" s="34" customFormat="1" ht="18.75" hidden="1" customHeight="1">
      <c r="A34" s="16"/>
      <c r="B34" s="16"/>
      <c r="C34" s="16"/>
      <c r="D34" s="16"/>
      <c r="E34" s="16"/>
      <c r="F34" s="16"/>
      <c r="G34" s="16"/>
      <c r="H34" s="16"/>
      <c r="I34" s="16"/>
      <c r="J34" s="16"/>
      <c r="K34" s="16"/>
      <c r="L34" s="751"/>
      <c r="M34" s="16"/>
      <c r="N34" s="16"/>
      <c r="O34" s="16"/>
      <c r="S34" s="1274" t="s">
        <v>423</v>
      </c>
      <c r="T34" s="1274"/>
      <c r="U34" s="770"/>
      <c r="V34" s="1275">
        <f>IF(TITLE_DATE_PR_CHANGE="",IF(TITLE_DATE_PR="","",TITLE_DATE_PR),TITLE_DATE_PR_CHANGE)</f>
        <v>45805</v>
      </c>
      <c r="W34" s="1275"/>
      <c r="X34" s="1275"/>
      <c r="Y34" s="1275"/>
      <c r="Z34" s="1275"/>
      <c r="AA34" s="1275"/>
      <c r="AB34" s="1275"/>
      <c r="AC34" s="10"/>
      <c r="AD34" s="1275">
        <f>IF(TITLE_DATE_PR_CHANGE="",IF(TITLE_DATE_PR="","",TITLE_DATE_PR),TITLE_DATE_PR_CHANGE)</f>
        <v>45805</v>
      </c>
      <c r="AE34" s="1275"/>
      <c r="AF34" s="1275"/>
      <c r="AG34" s="1275"/>
      <c r="AH34" s="1275"/>
      <c r="AI34" s="1275"/>
      <c r="AJ34" s="1275"/>
      <c r="AK34" s="10"/>
      <c r="AL34" s="10"/>
      <c r="AM34" s="160"/>
      <c r="AN34" s="66"/>
      <c r="AO34" s="66"/>
      <c r="AP34" s="66"/>
      <c r="AQ34" s="66"/>
      <c r="AR34" s="66"/>
      <c r="AS34" s="34">
        <v>0</v>
      </c>
    </row>
    <row r="35" spans="1:45" s="34" customFormat="1" ht="18.75" hidden="1" customHeight="1">
      <c r="A35" s="16"/>
      <c r="B35" s="16"/>
      <c r="C35" s="16"/>
      <c r="D35" s="16"/>
      <c r="E35" s="16"/>
      <c r="F35" s="16"/>
      <c r="G35" s="16"/>
      <c r="H35" s="16"/>
      <c r="I35" s="16"/>
      <c r="J35" s="16"/>
      <c r="K35" s="16"/>
      <c r="L35" s="751"/>
      <c r="M35" s="16"/>
      <c r="N35" s="16"/>
      <c r="O35" s="16"/>
      <c r="S35" s="1274" t="s">
        <v>424</v>
      </c>
      <c r="T35" s="1274"/>
      <c r="U35" s="770"/>
      <c r="V35" s="1276" t="str">
        <f>IF(TITLE_NUMBER_PR_CHANGE="",IF(TITLE_NUMBER_PR="","",TITLE_NUMBER_PR),TITLE_NUMBER_PR_CHANGE)</f>
        <v>2496</v>
      </c>
      <c r="W35" s="1276"/>
      <c r="X35" s="1276"/>
      <c r="Y35" s="1276"/>
      <c r="Z35" s="1276"/>
      <c r="AA35" s="1276"/>
      <c r="AB35" s="1276"/>
      <c r="AC35" s="10"/>
      <c r="AD35" s="1276" t="str">
        <f>IF(TITLE_NUMBER_PR_CHANGE="",IF(TITLE_NUMBER_PR="","",TITLE_NUMBER_PR),TITLE_NUMBER_PR_CHANGE)</f>
        <v>2496</v>
      </c>
      <c r="AE35" s="1276"/>
      <c r="AF35" s="1276"/>
      <c r="AG35" s="1276"/>
      <c r="AH35" s="1276"/>
      <c r="AI35" s="1276"/>
      <c r="AJ35" s="1276"/>
      <c r="AK35" s="10"/>
      <c r="AL35" s="10"/>
      <c r="AM35" s="160"/>
      <c r="AN35" s="66"/>
      <c r="AO35" s="66"/>
      <c r="AP35" s="66"/>
      <c r="AQ35" s="66"/>
      <c r="AR35" s="66"/>
      <c r="AS35" s="34">
        <v>0</v>
      </c>
    </row>
    <row r="36" spans="1:45" s="34" customFormat="1" ht="0" hidden="1" customHeight="1">
      <c r="A36" s="16"/>
      <c r="B36" s="16"/>
      <c r="C36" s="16"/>
      <c r="D36" s="16"/>
      <c r="E36" s="16"/>
      <c r="F36" s="16"/>
      <c r="G36" s="16"/>
      <c r="H36" s="16"/>
      <c r="I36" s="16"/>
      <c r="J36" s="16"/>
      <c r="K36" s="16"/>
      <c r="L36" s="751"/>
      <c r="M36" s="16"/>
      <c r="N36" s="16"/>
      <c r="O36" s="16"/>
      <c r="S36" s="10"/>
      <c r="T36" s="10"/>
      <c r="U36" s="75"/>
      <c r="V36" s="10"/>
      <c r="W36" s="10"/>
      <c r="X36" s="10"/>
      <c r="Y36" s="10"/>
      <c r="Z36" s="10"/>
      <c r="AA36" s="10"/>
      <c r="AB36" s="10"/>
      <c r="AC36" s="65" t="s">
        <v>425</v>
      </c>
      <c r="AD36" s="10"/>
      <c r="AE36" s="10"/>
      <c r="AF36" s="10"/>
      <c r="AG36" s="10"/>
      <c r="AH36" s="10"/>
      <c r="AI36" s="10"/>
      <c r="AJ36" s="10"/>
      <c r="AK36" s="65" t="s">
        <v>425</v>
      </c>
      <c r="AN36" s="66"/>
      <c r="AO36" s="66"/>
      <c r="AP36" s="66"/>
      <c r="AQ36" s="66"/>
      <c r="AR36" s="66"/>
      <c r="AS36" s="34">
        <v>0</v>
      </c>
    </row>
    <row r="37" spans="1:45" ht="14.65" customHeight="1">
      <c r="Q37" s="27"/>
      <c r="R37" s="27"/>
      <c r="S37" s="736"/>
      <c r="T37" s="9"/>
      <c r="U37" s="717"/>
      <c r="V37" s="1295"/>
      <c r="W37" s="1295"/>
      <c r="X37" s="1295"/>
      <c r="Y37" s="1295"/>
      <c r="Z37" s="1295"/>
      <c r="AA37" s="1295"/>
      <c r="AB37" s="1295"/>
      <c r="AC37" s="1295"/>
      <c r="AD37" s="1295"/>
      <c r="AE37" s="1295"/>
      <c r="AF37" s="1295"/>
      <c r="AG37" s="1295"/>
      <c r="AH37" s="1295"/>
      <c r="AI37" s="1295"/>
      <c r="AJ37" s="1295"/>
      <c r="AK37" s="1295"/>
      <c r="AS37" s="10">
        <v>14</v>
      </c>
    </row>
    <row r="38" spans="1:45" ht="14.65" customHeight="1">
      <c r="Q38" s="27"/>
      <c r="R38" s="27"/>
      <c r="S38" s="1146" t="s">
        <v>300</v>
      </c>
      <c r="T38" s="1146"/>
      <c r="U38" s="1146"/>
      <c r="V38" s="1146"/>
      <c r="W38" s="1146"/>
      <c r="X38" s="1146"/>
      <c r="Y38" s="1146"/>
      <c r="Z38" s="1146"/>
      <c r="AA38" s="1146"/>
      <c r="AB38" s="1146"/>
      <c r="AC38" s="1146"/>
      <c r="AD38" s="1146"/>
      <c r="AE38" s="1146"/>
      <c r="AF38" s="1146"/>
      <c r="AG38" s="1146"/>
      <c r="AH38" s="1146"/>
      <c r="AI38" s="1146"/>
      <c r="AJ38" s="1146"/>
      <c r="AK38" s="1146"/>
      <c r="AL38" s="1146"/>
      <c r="AM38" s="1146" t="s">
        <v>301</v>
      </c>
      <c r="AS38" s="10">
        <v>14</v>
      </c>
    </row>
    <row r="39" spans="1:45" ht="14.65" customHeight="1">
      <c r="Q39" s="27"/>
      <c r="R39" s="27"/>
      <c r="S39" s="1296" t="s">
        <v>86</v>
      </c>
      <c r="T39" s="1244" t="s">
        <v>426</v>
      </c>
      <c r="U39" s="169"/>
      <c r="V39" s="1297" t="s">
        <v>427</v>
      </c>
      <c r="W39" s="1298"/>
      <c r="X39" s="1298"/>
      <c r="Y39" s="1298"/>
      <c r="Z39" s="1298"/>
      <c r="AA39" s="1298"/>
      <c r="AB39" s="1299"/>
      <c r="AC39" s="1300" t="s">
        <v>428</v>
      </c>
      <c r="AD39" s="1297" t="s">
        <v>427</v>
      </c>
      <c r="AE39" s="1298"/>
      <c r="AF39" s="1298"/>
      <c r="AG39" s="1298"/>
      <c r="AH39" s="1298"/>
      <c r="AI39" s="1298"/>
      <c r="AJ39" s="1299"/>
      <c r="AK39" s="1300" t="s">
        <v>429</v>
      </c>
      <c r="AL39" s="1303" t="s">
        <v>430</v>
      </c>
      <c r="AM39" s="1146"/>
      <c r="AS39" s="10">
        <v>14</v>
      </c>
    </row>
    <row r="40" spans="1:45" ht="35.65" customHeight="1">
      <c r="Q40" s="27"/>
      <c r="R40" s="27"/>
      <c r="S40" s="1296"/>
      <c r="T40" s="1244"/>
      <c r="U40" s="604"/>
      <c r="V40" s="1216" t="s">
        <v>431</v>
      </c>
      <c r="W40" s="1292" t="s">
        <v>432</v>
      </c>
      <c r="X40" s="1128" t="s">
        <v>433</v>
      </c>
      <c r="Y40" s="1127"/>
      <c r="Z40" s="1128" t="s">
        <v>446</v>
      </c>
      <c r="AA40" s="1133"/>
      <c r="AB40" s="1127"/>
      <c r="AC40" s="1301"/>
      <c r="AD40" s="1216" t="s">
        <v>431</v>
      </c>
      <c r="AE40" s="1292" t="s">
        <v>432</v>
      </c>
      <c r="AF40" s="1128" t="s">
        <v>433</v>
      </c>
      <c r="AG40" s="1127"/>
      <c r="AH40" s="1128" t="s">
        <v>434</v>
      </c>
      <c r="AI40" s="1133"/>
      <c r="AJ40" s="1127"/>
      <c r="AK40" s="1301"/>
      <c r="AL40" s="1304"/>
      <c r="AM40" s="1146"/>
      <c r="AS40" s="10">
        <v>34</v>
      </c>
    </row>
    <row r="41" spans="1:45" ht="35.65" customHeight="1">
      <c r="A41" s="16"/>
      <c r="B41" s="16" t="s">
        <v>133</v>
      </c>
      <c r="C41" s="16" t="s">
        <v>134</v>
      </c>
      <c r="D41" s="16" t="s">
        <v>135</v>
      </c>
      <c r="E41" s="751" t="s">
        <v>435</v>
      </c>
      <c r="F41" s="751" t="s">
        <v>436</v>
      </c>
      <c r="G41" s="751" t="s">
        <v>437</v>
      </c>
      <c r="H41" s="751" t="s">
        <v>438</v>
      </c>
      <c r="I41" s="751" t="s">
        <v>439</v>
      </c>
      <c r="J41" s="751" t="s">
        <v>440</v>
      </c>
      <c r="K41" s="751" t="s">
        <v>441</v>
      </c>
      <c r="L41" s="751" t="s">
        <v>416</v>
      </c>
      <c r="Q41" s="27"/>
      <c r="R41" s="27"/>
      <c r="S41" s="1296"/>
      <c r="T41" s="1244"/>
      <c r="U41" s="170"/>
      <c r="V41" s="1269"/>
      <c r="W41" s="1293"/>
      <c r="X41" s="38" t="s">
        <v>442</v>
      </c>
      <c r="Y41" s="38" t="s">
        <v>443</v>
      </c>
      <c r="Z41" s="38" t="s">
        <v>444</v>
      </c>
      <c r="AA41" s="1249" t="s">
        <v>445</v>
      </c>
      <c r="AB41" s="1263"/>
      <c r="AC41" s="1302"/>
      <c r="AD41" s="1269"/>
      <c r="AE41" s="1293"/>
      <c r="AF41" s="38" t="s">
        <v>442</v>
      </c>
      <c r="AG41" s="38" t="s">
        <v>443</v>
      </c>
      <c r="AH41" s="38" t="s">
        <v>444</v>
      </c>
      <c r="AI41" s="1249" t="s">
        <v>445</v>
      </c>
      <c r="AJ41" s="1263"/>
      <c r="AK41" s="1302"/>
      <c r="AL41" s="1305"/>
      <c r="AM41" s="1146"/>
      <c r="AS41" s="10">
        <v>34</v>
      </c>
    </row>
    <row r="42" spans="1:45" s="200" customFormat="1" ht="11.25" hidden="1" customHeight="1">
      <c r="A42" s="16"/>
      <c r="B42" s="16"/>
      <c r="C42" s="16"/>
      <c r="D42" s="16"/>
      <c r="E42" s="16"/>
      <c r="F42" s="16"/>
      <c r="G42" s="16"/>
      <c r="H42" s="16"/>
      <c r="I42" s="16"/>
      <c r="J42" s="16"/>
      <c r="K42" s="16"/>
      <c r="L42" s="751"/>
      <c r="M42" s="32"/>
      <c r="N42" s="32"/>
      <c r="O42" s="32"/>
      <c r="P42" s="719"/>
      <c r="Q42" s="720"/>
      <c r="R42" s="722">
        <v>1</v>
      </c>
      <c r="S42" s="738" t="s">
        <v>107</v>
      </c>
      <c r="T42" s="723" t="s">
        <v>108</v>
      </c>
      <c r="U42" s="718" t="str">
        <f ca="1">OFFSET(U42,0,-1)</f>
        <v>2</v>
      </c>
      <c r="V42" s="724">
        <f ca="1">OFFSET(V42,0,-1)+1</f>
        <v>3</v>
      </c>
      <c r="W42" s="724"/>
      <c r="X42" s="724">
        <f ca="1">OFFSET(X42,0,-1)+1</f>
        <v>1</v>
      </c>
      <c r="Y42" s="724">
        <f ca="1">OFFSET(Y42,0,-1)+1</f>
        <v>2</v>
      </c>
      <c r="Z42" s="724">
        <f ca="1">OFFSET(Z42,0,-1)+1</f>
        <v>3</v>
      </c>
      <c r="AA42" s="1294">
        <f ca="1">OFFSET(AA42,0,-1)+1</f>
        <v>4</v>
      </c>
      <c r="AB42" s="1294"/>
      <c r="AC42" s="724">
        <f ca="1">OFFSET(AC42,0,-2)+1</f>
        <v>5</v>
      </c>
      <c r="AD42" s="724">
        <f ca="1">OFFSET(AD42,0,-1)+1</f>
        <v>6</v>
      </c>
      <c r="AE42" s="724"/>
      <c r="AF42" s="724">
        <f ca="1">OFFSET(AF42,0,-1)+1</f>
        <v>1</v>
      </c>
      <c r="AG42" s="724">
        <f ca="1">OFFSET(AG42,0,-1)+1</f>
        <v>2</v>
      </c>
      <c r="AH42" s="724">
        <f ca="1">OFFSET(AH42,0,-1)+1</f>
        <v>3</v>
      </c>
      <c r="AI42" s="1294">
        <f ca="1">OFFSET(AI42,0,-1)+1</f>
        <v>4</v>
      </c>
      <c r="AJ42" s="1294"/>
      <c r="AK42" s="724">
        <f ca="1">OFFSET(AK42,0,-2)+1</f>
        <v>5</v>
      </c>
      <c r="AL42" s="718">
        <f ca="1">OFFSET(AL42,0,-1)</f>
        <v>5</v>
      </c>
      <c r="AM42" s="724">
        <f ca="1">OFFSET(AM42,0,-1)+1</f>
        <v>6</v>
      </c>
      <c r="AN42" s="65"/>
      <c r="AO42" s="65"/>
      <c r="AP42" s="65"/>
      <c r="AQ42" s="65"/>
      <c r="AR42" s="65"/>
      <c r="AS42" s="200">
        <v>0</v>
      </c>
    </row>
    <row r="43" spans="1:45" ht="21.95" customHeight="1">
      <c r="A43" s="728" t="s">
        <v>208</v>
      </c>
      <c r="B43" s="728"/>
      <c r="C43" s="728"/>
      <c r="D43" s="728"/>
      <c r="E43" s="1309">
        <v>1</v>
      </c>
      <c r="F43" s="728"/>
      <c r="G43" s="728"/>
      <c r="H43" s="728"/>
      <c r="I43" s="728"/>
      <c r="J43" s="728"/>
      <c r="K43" s="728"/>
      <c r="L43" s="751"/>
      <c r="M43" s="339"/>
      <c r="N43" s="339"/>
      <c r="O43" s="339"/>
      <c r="Q43" s="33"/>
      <c r="R43" s="204"/>
      <c r="S43" s="706">
        <f>INDEX(PT_DIFFERENTIATION_NUM_NTAR,MATCH(A43,PT_DIFFERENTIATION_NTAR_ID,0))</f>
        <v>0</v>
      </c>
      <c r="T43" s="64" t="s">
        <v>121</v>
      </c>
      <c r="U43" s="168"/>
      <c r="V43" s="1277"/>
      <c r="W43" s="1278"/>
      <c r="X43" s="1278"/>
      <c r="Y43" s="1278"/>
      <c r="Z43" s="1278"/>
      <c r="AA43" s="1278"/>
      <c r="AB43" s="1278"/>
      <c r="AC43" s="1279"/>
      <c r="AD43" s="1277" t="str">
        <f>INDEX(PT_DIFFERENTIATION_NTAR,MATCH(A43,PT_DIFFERENTIATION_NTAR_ID,0))</f>
        <v/>
      </c>
      <c r="AE43" s="1278"/>
      <c r="AF43" s="1278"/>
      <c r="AG43" s="1278"/>
      <c r="AH43" s="1278"/>
      <c r="AI43" s="1278"/>
      <c r="AJ43" s="1278"/>
      <c r="AK43" s="1278"/>
      <c r="AL43" s="1279"/>
      <c r="AM43" s="72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28" t="s">
        <v>208</v>
      </c>
      <c r="B44" s="728" t="s">
        <v>209</v>
      </c>
      <c r="C44" s="728"/>
      <c r="D44" s="728"/>
      <c r="E44" s="1310"/>
      <c r="F44" s="1309">
        <v>1</v>
      </c>
      <c r="G44" s="728"/>
      <c r="H44" s="728"/>
      <c r="I44" s="728"/>
      <c r="J44" s="728"/>
      <c r="K44" s="728"/>
      <c r="L44" s="751"/>
      <c r="M44" s="339"/>
      <c r="N44" s="339"/>
      <c r="O44" s="339"/>
      <c r="P44" s="56"/>
      <c r="Q44" s="201"/>
      <c r="R44" s="202"/>
      <c r="S44" s="706" t="str">
        <f>INDEX(PT_DIFFERENTIATION_NUM_TER,MATCH(B44,PT_DIFFERENTIATION_TER_ID,0))</f>
        <v>.</v>
      </c>
      <c r="T44" s="174" t="s">
        <v>397</v>
      </c>
      <c r="U44" s="168"/>
      <c r="V44" s="1277"/>
      <c r="W44" s="1278"/>
      <c r="X44" s="1278"/>
      <c r="Y44" s="1278"/>
      <c r="Z44" s="1278"/>
      <c r="AA44" s="1278"/>
      <c r="AB44" s="1278"/>
      <c r="AC44" s="1279"/>
      <c r="AD44" s="1277" t="str">
        <f>INDEX(PT_DIFFERENTIATION_TER,MATCH(B44,PT_DIFFERENTIATION_TER_ID,0))</f>
        <v/>
      </c>
      <c r="AE44" s="1278"/>
      <c r="AF44" s="1278"/>
      <c r="AG44" s="1278"/>
      <c r="AH44" s="1278"/>
      <c r="AI44" s="1278"/>
      <c r="AJ44" s="1278"/>
      <c r="AK44" s="1278"/>
      <c r="AL44" s="1279"/>
      <c r="AM44" s="726" t="s">
        <v>398</v>
      </c>
      <c r="AO44" s="66"/>
      <c r="AP44" s="66" t="str">
        <f t="shared" si="1"/>
        <v>Территория действия тарифа</v>
      </c>
      <c r="AQ44" s="66"/>
      <c r="AR44" s="66"/>
      <c r="AS44" s="10">
        <v>21</v>
      </c>
    </row>
    <row r="45" spans="1:45" ht="24" customHeight="1">
      <c r="A45" s="728" t="s">
        <v>208</v>
      </c>
      <c r="B45" s="728" t="s">
        <v>209</v>
      </c>
      <c r="C45" s="728" t="s">
        <v>210</v>
      </c>
      <c r="D45" s="728"/>
      <c r="E45" s="1310"/>
      <c r="F45" s="1310"/>
      <c r="G45" s="1309">
        <v>1</v>
      </c>
      <c r="H45" s="728"/>
      <c r="I45" s="728"/>
      <c r="J45" s="728"/>
      <c r="K45" s="728"/>
      <c r="L45" s="751"/>
      <c r="M45" s="339"/>
      <c r="N45" s="339"/>
      <c r="O45" s="339"/>
      <c r="P45" s="203"/>
      <c r="Q45" s="201"/>
      <c r="R45" s="202"/>
      <c r="S45" s="706" t="str">
        <f>INDEX(PT_DIFFERENTIATION_NUM_CS,MATCH(C45,PT_DIFFERENTIATION_CS_ID,0))</f>
        <v>..</v>
      </c>
      <c r="T45" s="175" t="s">
        <v>399</v>
      </c>
      <c r="U45" s="168"/>
      <c r="V45" s="1277"/>
      <c r="W45" s="1278"/>
      <c r="X45" s="1278"/>
      <c r="Y45" s="1278"/>
      <c r="Z45" s="1278"/>
      <c r="AA45" s="1278"/>
      <c r="AB45" s="1278"/>
      <c r="AC45" s="1279"/>
      <c r="AD45" s="1277" t="str">
        <f>INDEX(PT_DIFFERENTIATION_CS,MATCH(C45,PT_DIFFERENTIATION_CS_ID,0))</f>
        <v/>
      </c>
      <c r="AE45" s="1278"/>
      <c r="AF45" s="1278"/>
      <c r="AG45" s="1278"/>
      <c r="AH45" s="1278"/>
      <c r="AI45" s="1278"/>
      <c r="AJ45" s="1278"/>
      <c r="AK45" s="1278"/>
      <c r="AL45" s="1279"/>
      <c r="AM45" s="726" t="s">
        <v>400</v>
      </c>
      <c r="AO45" s="66"/>
      <c r="AP45" s="66" t="str">
        <f t="shared" si="1"/>
        <v xml:space="preserve">Наименование системы теплоснабжения </v>
      </c>
      <c r="AQ45" s="66"/>
      <c r="AR45" s="66"/>
      <c r="AS45" s="10">
        <v>23</v>
      </c>
    </row>
    <row r="46" spans="1:45" ht="21.95" customHeight="1">
      <c r="A46" s="728" t="s">
        <v>208</v>
      </c>
      <c r="B46" s="728" t="s">
        <v>209</v>
      </c>
      <c r="C46" s="728" t="s">
        <v>210</v>
      </c>
      <c r="D46" s="728" t="s">
        <v>211</v>
      </c>
      <c r="E46" s="1310"/>
      <c r="F46" s="1310"/>
      <c r="G46" s="1310"/>
      <c r="H46" s="1309">
        <v>1</v>
      </c>
      <c r="I46" s="728"/>
      <c r="J46" s="728"/>
      <c r="K46" s="728"/>
      <c r="L46" s="751"/>
      <c r="M46" s="339"/>
      <c r="N46" s="339"/>
      <c r="O46" s="339"/>
      <c r="P46" s="203"/>
      <c r="Q46" s="201"/>
      <c r="R46" s="202"/>
      <c r="S46" s="706" t="str">
        <f>INDEX(PT_DIFFERENTIATION_NUM_IST_TE,MATCH(D46,PT_DIFFERENTIATION_IST_TE_ID,0))</f>
        <v>...</v>
      </c>
      <c r="T46" s="176" t="s">
        <v>401</v>
      </c>
      <c r="U46" s="168"/>
      <c r="V46" s="1277"/>
      <c r="W46" s="1278"/>
      <c r="X46" s="1278"/>
      <c r="Y46" s="1278"/>
      <c r="Z46" s="1278"/>
      <c r="AA46" s="1278"/>
      <c r="AB46" s="1278"/>
      <c r="AC46" s="1279"/>
      <c r="AD46" s="1277" t="str">
        <f>INDEX(PT_DIFFERENTIATION_IST_TE,MATCH(D46,PT_DIFFERENTIATION_IST_TE_ID,0))</f>
        <v/>
      </c>
      <c r="AE46" s="1278"/>
      <c r="AF46" s="1278"/>
      <c r="AG46" s="1278"/>
      <c r="AH46" s="1278"/>
      <c r="AI46" s="1278"/>
      <c r="AJ46" s="1278"/>
      <c r="AK46" s="1278"/>
      <c r="AL46" s="1279"/>
      <c r="AM46" s="726" t="s">
        <v>402</v>
      </c>
      <c r="AO46" s="66"/>
      <c r="AP46" s="66" t="str">
        <f t="shared" si="1"/>
        <v xml:space="preserve">Источник тепловой энергии  </v>
      </c>
      <c r="AQ46" s="66"/>
      <c r="AR46" s="66"/>
      <c r="AS46" s="10">
        <v>21</v>
      </c>
    </row>
    <row r="47" spans="1:45" ht="49.5" customHeight="1">
      <c r="A47" s="728" t="s">
        <v>208</v>
      </c>
      <c r="B47" s="728" t="s">
        <v>209</v>
      </c>
      <c r="C47" s="728" t="s">
        <v>210</v>
      </c>
      <c r="D47" s="728" t="s">
        <v>211</v>
      </c>
      <c r="E47" s="1310"/>
      <c r="F47" s="1310"/>
      <c r="G47" s="1310"/>
      <c r="H47" s="1310"/>
      <c r="I47" s="1146" t="str">
        <f>S46&amp;".1"</f>
        <v>....1</v>
      </c>
      <c r="J47" s="728"/>
      <c r="K47" s="728"/>
      <c r="L47" s="751" t="s">
        <v>403</v>
      </c>
      <c r="P47" s="1287">
        <v>1</v>
      </c>
      <c r="Q47" s="119"/>
      <c r="R47" s="205"/>
      <c r="S47" s="706" t="str">
        <f>$I47</f>
        <v>....1</v>
      </c>
      <c r="T47" s="161" t="s">
        <v>404</v>
      </c>
      <c r="U47" s="168"/>
      <c r="V47" s="1271"/>
      <c r="W47" s="1272"/>
      <c r="X47" s="1272"/>
      <c r="Y47" s="1272"/>
      <c r="Z47" s="1272"/>
      <c r="AA47" s="1272"/>
      <c r="AB47" s="1272"/>
      <c r="AC47" s="1273"/>
      <c r="AD47" s="1271"/>
      <c r="AE47" s="1272"/>
      <c r="AF47" s="1272"/>
      <c r="AG47" s="1272"/>
      <c r="AH47" s="1272"/>
      <c r="AI47" s="1272"/>
      <c r="AJ47" s="1272"/>
      <c r="AK47" s="1272"/>
      <c r="AL47" s="1273"/>
      <c r="AM47" s="726" t="s">
        <v>405</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1.95" customHeight="1">
      <c r="A48" s="728" t="s">
        <v>208</v>
      </c>
      <c r="B48" s="728" t="s">
        <v>209</v>
      </c>
      <c r="C48" s="728" t="s">
        <v>210</v>
      </c>
      <c r="D48" s="728" t="s">
        <v>211</v>
      </c>
      <c r="E48" s="1310"/>
      <c r="F48" s="1310"/>
      <c r="G48" s="1310"/>
      <c r="H48" s="1310"/>
      <c r="I48" s="1128"/>
      <c r="J48" s="1146" t="str">
        <f>I47&amp;".1"</f>
        <v>....1.1</v>
      </c>
      <c r="K48" s="728"/>
      <c r="L48" s="751" t="s">
        <v>406</v>
      </c>
      <c r="P48" s="1287"/>
      <c r="Q48" s="1287">
        <v>1</v>
      </c>
      <c r="R48" s="206"/>
      <c r="S48" s="706" t="str">
        <f>$J48</f>
        <v>....1.1</v>
      </c>
      <c r="T48" s="162" t="s">
        <v>407</v>
      </c>
      <c r="U48" s="168"/>
      <c r="V48" s="1271"/>
      <c r="W48" s="1272"/>
      <c r="X48" s="1272"/>
      <c r="Y48" s="1272"/>
      <c r="Z48" s="1272"/>
      <c r="AA48" s="1272"/>
      <c r="AB48" s="1272"/>
      <c r="AC48" s="1273"/>
      <c r="AD48" s="1271"/>
      <c r="AE48" s="1272"/>
      <c r="AF48" s="1272"/>
      <c r="AG48" s="1272"/>
      <c r="AH48" s="1272"/>
      <c r="AI48" s="1272"/>
      <c r="AJ48" s="1272"/>
      <c r="AK48" s="1272"/>
      <c r="AL48" s="1273"/>
      <c r="AM48" s="726" t="s">
        <v>408</v>
      </c>
      <c r="AO48" s="66"/>
      <c r="AP48" s="66" t="str">
        <f t="shared" si="1"/>
        <v>Группа потребителей</v>
      </c>
      <c r="AQ48" s="66"/>
      <c r="AR48" s="66"/>
      <c r="AS48" s="10">
        <v>21</v>
      </c>
    </row>
    <row r="49" spans="1:45" ht="21.95" customHeight="1">
      <c r="A49" s="728" t="s">
        <v>208</v>
      </c>
      <c r="B49" s="728" t="s">
        <v>209</v>
      </c>
      <c r="C49" s="728" t="s">
        <v>210</v>
      </c>
      <c r="D49" s="728" t="s">
        <v>211</v>
      </c>
      <c r="E49" s="1310"/>
      <c r="F49" s="1310"/>
      <c r="G49" s="1310"/>
      <c r="H49" s="1310"/>
      <c r="I49" s="1128"/>
      <c r="J49" s="1128"/>
      <c r="K49" s="1146" t="str">
        <f>J48&amp;".1"</f>
        <v>....1.1.1</v>
      </c>
      <c r="L49" s="751" t="s">
        <v>409</v>
      </c>
      <c r="P49" s="1287"/>
      <c r="Q49" s="1287"/>
      <c r="R49" s="206">
        <v>1</v>
      </c>
      <c r="S49" s="706" t="str">
        <f>$K49</f>
        <v>....1.1.1</v>
      </c>
      <c r="T49" s="762"/>
      <c r="U49" s="168"/>
      <c r="V49" s="303"/>
      <c r="W49" s="188"/>
      <c r="X49" s="303"/>
      <c r="Y49" s="725"/>
      <c r="Z49" s="1288"/>
      <c r="AA49" s="1156" t="s">
        <v>64</v>
      </c>
      <c r="AB49" s="1288"/>
      <c r="AC49" s="1156" t="s">
        <v>64</v>
      </c>
      <c r="AD49" s="303"/>
      <c r="AE49" s="188"/>
      <c r="AF49" s="303"/>
      <c r="AG49" s="725"/>
      <c r="AH49" s="1288"/>
      <c r="AI49" s="1156" t="s">
        <v>64</v>
      </c>
      <c r="AJ49" s="1290"/>
      <c r="AK49" s="1156" t="s">
        <v>64</v>
      </c>
      <c r="AL49" s="763"/>
      <c r="AM49" s="1306" t="s">
        <v>410</v>
      </c>
      <c r="AN49" s="65" t="e">
        <f ca="1">STRCHECKDATE(V50:AL50)</f>
        <v>#NAME?</v>
      </c>
      <c r="AO49" s="66"/>
      <c r="AP49" s="66" t="str">
        <f t="shared" si="1"/>
        <v/>
      </c>
      <c r="AQ49" s="66"/>
      <c r="AR49" s="66"/>
      <c r="AS49" s="10">
        <v>21</v>
      </c>
    </row>
    <row r="50" spans="1:45" ht="1.1499999999999999" customHeight="1">
      <c r="A50" s="728" t="s">
        <v>208</v>
      </c>
      <c r="B50" s="728" t="s">
        <v>209</v>
      </c>
      <c r="C50" s="728" t="s">
        <v>210</v>
      </c>
      <c r="D50" s="728" t="s">
        <v>211</v>
      </c>
      <c r="E50" s="1310"/>
      <c r="F50" s="1310"/>
      <c r="G50" s="1310"/>
      <c r="H50" s="1310"/>
      <c r="I50" s="1128"/>
      <c r="J50" s="1128"/>
      <c r="K50" s="1146"/>
      <c r="L50" s="751"/>
      <c r="P50" s="1287"/>
      <c r="Q50" s="1287"/>
      <c r="R50" s="206"/>
      <c r="S50" s="62"/>
      <c r="T50" s="168"/>
      <c r="U50" s="168"/>
      <c r="V50" s="188"/>
      <c r="W50" s="188"/>
      <c r="X50" s="188"/>
      <c r="Y50" s="189" t="str">
        <f>Z49&amp;"-"&amp;AB49</f>
        <v>-</v>
      </c>
      <c r="Z50" s="1289"/>
      <c r="AA50" s="1156"/>
      <c r="AB50" s="1289"/>
      <c r="AC50" s="1156"/>
      <c r="AD50" s="188"/>
      <c r="AE50" s="188"/>
      <c r="AF50" s="188"/>
      <c r="AG50" s="189" t="str">
        <f>AH49&amp;"-"&amp;AJ49</f>
        <v>-</v>
      </c>
      <c r="AH50" s="1289"/>
      <c r="AI50" s="1156"/>
      <c r="AJ50" s="1291"/>
      <c r="AK50" s="1156"/>
      <c r="AL50" s="764"/>
      <c r="AM50" s="1307"/>
      <c r="AO50" s="66"/>
      <c r="AP50" s="66" t="str">
        <f t="shared" si="1"/>
        <v/>
      </c>
      <c r="AQ50" s="66"/>
      <c r="AR50" s="66"/>
      <c r="AS50" s="10">
        <v>1</v>
      </c>
    </row>
    <row r="51" spans="1:45" ht="11.45" customHeight="1">
      <c r="A51" s="728" t="s">
        <v>208</v>
      </c>
      <c r="B51" s="728" t="s">
        <v>209</v>
      </c>
      <c r="C51" s="728" t="s">
        <v>210</v>
      </c>
      <c r="D51" s="728" t="s">
        <v>211</v>
      </c>
      <c r="E51" s="1310"/>
      <c r="F51" s="1310"/>
      <c r="G51" s="1310"/>
      <c r="H51" s="1310"/>
      <c r="I51" s="1128"/>
      <c r="J51" s="1146"/>
      <c r="K51" s="728"/>
      <c r="L51" s="751"/>
      <c r="P51" s="1287"/>
      <c r="Q51" s="1287"/>
      <c r="R51" s="205"/>
      <c r="S51" s="739"/>
      <c r="T51" s="164" t="s">
        <v>411</v>
      </c>
      <c r="U51" s="210"/>
      <c r="V51" s="210"/>
      <c r="W51" s="210"/>
      <c r="X51" s="210"/>
      <c r="Y51" s="210"/>
      <c r="Z51" s="210"/>
      <c r="AA51" s="210"/>
      <c r="AB51" s="210"/>
      <c r="AC51" s="210"/>
      <c r="AD51" s="210"/>
      <c r="AE51" s="210"/>
      <c r="AF51" s="210"/>
      <c r="AG51" s="210"/>
      <c r="AH51" s="210"/>
      <c r="AI51" s="210"/>
      <c r="AJ51" s="210"/>
      <c r="AK51" s="210"/>
      <c r="AL51" s="187"/>
      <c r="AM51" s="1308"/>
      <c r="AO51" s="66"/>
      <c r="AP51" s="66" t="str">
        <f t="shared" si="1"/>
        <v>Добавить вид теплоносителя (параметры теплоносителя)</v>
      </c>
      <c r="AQ51" s="66"/>
      <c r="AR51" s="66"/>
      <c r="AS51" s="10">
        <v>11</v>
      </c>
    </row>
    <row r="52" spans="1:45" ht="11.45" customHeight="1">
      <c r="A52" s="728" t="s">
        <v>208</v>
      </c>
      <c r="B52" s="728" t="s">
        <v>209</v>
      </c>
      <c r="C52" s="728" t="s">
        <v>210</v>
      </c>
      <c r="D52" s="728" t="s">
        <v>211</v>
      </c>
      <c r="E52" s="1310"/>
      <c r="F52" s="1310"/>
      <c r="G52" s="1310"/>
      <c r="H52" s="1310"/>
      <c r="I52" s="1146"/>
      <c r="J52" s="728"/>
      <c r="K52" s="728"/>
      <c r="L52" s="751"/>
      <c r="P52" s="1287"/>
      <c r="Q52" s="119"/>
      <c r="R52" s="205"/>
      <c r="S52" s="739"/>
      <c r="T52" s="163" t="s">
        <v>412</v>
      </c>
      <c r="U52" s="210"/>
      <c r="V52" s="210"/>
      <c r="W52" s="210"/>
      <c r="X52" s="210"/>
      <c r="Y52" s="210"/>
      <c r="Z52" s="210"/>
      <c r="AA52" s="210"/>
      <c r="AB52" s="210"/>
      <c r="AC52" s="209"/>
      <c r="AD52" s="210"/>
      <c r="AE52" s="210"/>
      <c r="AF52" s="210"/>
      <c r="AG52" s="210"/>
      <c r="AH52" s="210"/>
      <c r="AI52" s="210"/>
      <c r="AJ52" s="210"/>
      <c r="AK52" s="209"/>
      <c r="AL52" s="210"/>
      <c r="AM52" s="171"/>
      <c r="AO52" s="66"/>
      <c r="AP52" s="66" t="str">
        <f t="shared" si="1"/>
        <v>Добавить группу потребителей</v>
      </c>
      <c r="AQ52" s="66"/>
      <c r="AR52" s="66"/>
      <c r="AS52" s="10">
        <v>11</v>
      </c>
    </row>
    <row r="53" spans="1:45" ht="14.65" customHeight="1">
      <c r="A53" s="728" t="s">
        <v>208</v>
      </c>
      <c r="B53" s="728" t="s">
        <v>209</v>
      </c>
      <c r="C53" s="728" t="s">
        <v>210</v>
      </c>
      <c r="D53" s="728" t="s">
        <v>211</v>
      </c>
      <c r="E53" s="1310"/>
      <c r="F53" s="1310"/>
      <c r="G53" s="1310"/>
      <c r="H53" s="1309"/>
      <c r="I53" s="728"/>
      <c r="J53" s="728"/>
      <c r="K53" s="728"/>
      <c r="L53" s="751"/>
      <c r="M53" s="339"/>
      <c r="N53" s="339"/>
      <c r="O53" s="10"/>
      <c r="P53" s="33"/>
      <c r="Q53" s="213"/>
      <c r="R53" s="204"/>
      <c r="S53" s="739"/>
      <c r="T53" s="208" t="s">
        <v>413</v>
      </c>
      <c r="U53" s="210"/>
      <c r="V53" s="210"/>
      <c r="W53" s="210"/>
      <c r="X53" s="210"/>
      <c r="Y53" s="210"/>
      <c r="Z53" s="210"/>
      <c r="AA53" s="210"/>
      <c r="AB53" s="210"/>
      <c r="AC53" s="209"/>
      <c r="AD53" s="210"/>
      <c r="AE53" s="210"/>
      <c r="AF53" s="210"/>
      <c r="AG53" s="210"/>
      <c r="AH53" s="210"/>
      <c r="AI53" s="210"/>
      <c r="AJ53" s="210"/>
      <c r="AK53" s="209"/>
      <c r="AL53" s="210"/>
      <c r="AM53" s="171"/>
      <c r="AO53" s="66"/>
      <c r="AP53" s="66" t="str">
        <f t="shared" si="1"/>
        <v>Добавить схему подключения</v>
      </c>
      <c r="AQ53" s="66"/>
      <c r="AR53" s="66"/>
      <c r="AS53" s="10">
        <v>14</v>
      </c>
    </row>
    <row r="54" spans="1:45" s="65" customFormat="1" ht="1.1499999999999999" customHeight="1">
      <c r="A54" s="728" t="s">
        <v>208</v>
      </c>
      <c r="B54" s="728" t="s">
        <v>209</v>
      </c>
      <c r="C54" s="728" t="s">
        <v>210</v>
      </c>
      <c r="D54" s="728"/>
      <c r="E54" s="1310"/>
      <c r="F54" s="1310"/>
      <c r="G54" s="1309"/>
      <c r="H54" s="728"/>
      <c r="I54" s="728"/>
      <c r="J54" s="728"/>
      <c r="K54" s="728"/>
      <c r="L54" s="751"/>
      <c r="M54" s="339"/>
      <c r="N54" s="339"/>
      <c r="O54" s="10"/>
      <c r="P54" s="101"/>
      <c r="Q54" s="752"/>
      <c r="R54" s="101"/>
      <c r="S54" s="757"/>
      <c r="T54" s="759" t="s">
        <v>414</v>
      </c>
      <c r="U54" s="310"/>
      <c r="V54" s="310"/>
      <c r="W54" s="310"/>
      <c r="X54" s="310"/>
      <c r="Y54" s="310"/>
      <c r="Z54" s="310"/>
      <c r="AA54" s="310"/>
      <c r="AB54" s="310"/>
      <c r="AC54" s="310"/>
      <c r="AD54" s="310"/>
      <c r="AE54" s="310"/>
      <c r="AF54" s="310"/>
      <c r="AG54" s="310"/>
      <c r="AH54" s="310"/>
      <c r="AI54" s="310"/>
      <c r="AJ54" s="310"/>
      <c r="AK54" s="310"/>
      <c r="AL54" s="310"/>
      <c r="AM54" s="310"/>
      <c r="AO54" s="66"/>
      <c r="AP54" s="66" t="str">
        <f t="shared" si="1"/>
        <v>Добавить источник для дифференциации</v>
      </c>
      <c r="AQ54" s="66"/>
      <c r="AR54" s="66"/>
      <c r="AS54" s="65">
        <v>1</v>
      </c>
    </row>
    <row r="55" spans="1:45" s="65" customFormat="1" ht="1.1499999999999999" customHeight="1">
      <c r="A55" s="728" t="s">
        <v>208</v>
      </c>
      <c r="B55" s="728" t="s">
        <v>209</v>
      </c>
      <c r="C55" s="728"/>
      <c r="D55" s="728"/>
      <c r="E55" s="1310"/>
      <c r="F55" s="1309"/>
      <c r="G55" s="728"/>
      <c r="H55" s="728"/>
      <c r="I55" s="728"/>
      <c r="J55" s="728"/>
      <c r="K55" s="728"/>
      <c r="L55" s="751"/>
      <c r="M55" s="1049"/>
      <c r="N55" s="1049"/>
      <c r="O55" s="10"/>
      <c r="P55" s="101"/>
      <c r="Q55" s="752"/>
      <c r="R55" s="101"/>
      <c r="S55" s="757"/>
      <c r="T55" s="759" t="s">
        <v>231</v>
      </c>
      <c r="U55" s="310"/>
      <c r="V55" s="310"/>
      <c r="W55" s="310"/>
      <c r="X55" s="310"/>
      <c r="Y55" s="310"/>
      <c r="Z55" s="310"/>
      <c r="AA55" s="310"/>
      <c r="AB55" s="310"/>
      <c r="AC55" s="310"/>
      <c r="AD55" s="310"/>
      <c r="AE55" s="310"/>
      <c r="AF55" s="310"/>
      <c r="AG55" s="310"/>
      <c r="AH55" s="310"/>
      <c r="AI55" s="310"/>
      <c r="AJ55" s="310"/>
      <c r="AK55" s="310"/>
      <c r="AL55" s="310"/>
      <c r="AM55" s="310"/>
      <c r="AO55" s="66"/>
      <c r="AP55" s="66" t="str">
        <f t="shared" si="1"/>
        <v>Добавить централизованную систему для дифференциации</v>
      </c>
      <c r="AQ55" s="66"/>
      <c r="AR55" s="66"/>
      <c r="AS55" s="65">
        <v>1</v>
      </c>
    </row>
    <row r="56" spans="1:45" s="65" customFormat="1" ht="1.1499999999999999" customHeight="1">
      <c r="A56" s="728" t="s">
        <v>208</v>
      </c>
      <c r="B56" s="728"/>
      <c r="C56" s="728"/>
      <c r="D56" s="728"/>
      <c r="E56" s="1309"/>
      <c r="F56" s="728"/>
      <c r="G56" s="728"/>
      <c r="H56" s="728"/>
      <c r="I56" s="728"/>
      <c r="J56" s="728"/>
      <c r="K56" s="728"/>
      <c r="L56" s="751"/>
      <c r="M56" s="1049"/>
      <c r="N56" s="1049"/>
      <c r="O56" s="10"/>
      <c r="P56" s="101"/>
      <c r="Q56" s="752"/>
      <c r="R56" s="101"/>
      <c r="S56" s="757"/>
      <c r="T56" s="759" t="s">
        <v>232</v>
      </c>
      <c r="U56" s="310"/>
      <c r="V56" s="310"/>
      <c r="W56" s="310"/>
      <c r="X56" s="310"/>
      <c r="Y56" s="310"/>
      <c r="Z56" s="310"/>
      <c r="AA56" s="310"/>
      <c r="AB56" s="310"/>
      <c r="AC56" s="310"/>
      <c r="AD56" s="310"/>
      <c r="AE56" s="310"/>
      <c r="AF56" s="310"/>
      <c r="AG56" s="310"/>
      <c r="AH56" s="310"/>
      <c r="AI56" s="310"/>
      <c r="AJ56" s="310"/>
      <c r="AK56" s="310"/>
      <c r="AL56" s="310"/>
      <c r="AM56" s="310"/>
      <c r="AO56" s="66"/>
      <c r="AP56" s="66" t="str">
        <f t="shared" si="1"/>
        <v>Добавить территорию для дифференциации</v>
      </c>
      <c r="AQ56" s="66"/>
      <c r="AR56" s="66"/>
      <c r="AS56" s="65">
        <v>1</v>
      </c>
    </row>
    <row r="57" spans="1:45" s="65" customFormat="1" ht="1.1499999999999999" customHeight="1">
      <c r="A57" s="728"/>
      <c r="B57" s="728"/>
      <c r="C57" s="728"/>
      <c r="D57" s="728"/>
      <c r="E57" s="728"/>
      <c r="F57" s="728"/>
      <c r="G57" s="728"/>
      <c r="H57" s="728"/>
      <c r="I57" s="728"/>
      <c r="J57" s="728"/>
      <c r="K57" s="728"/>
      <c r="L57" s="751"/>
      <c r="M57" s="1049"/>
      <c r="N57" s="1049"/>
      <c r="O57" s="10"/>
      <c r="P57" s="101"/>
      <c r="Q57" s="752"/>
      <c r="R57" s="101"/>
      <c r="S57" s="757"/>
      <c r="T57" s="759" t="s">
        <v>233</v>
      </c>
      <c r="U57" s="310"/>
      <c r="V57" s="310"/>
      <c r="W57" s="310"/>
      <c r="X57" s="310"/>
      <c r="Y57" s="310"/>
      <c r="Z57" s="310"/>
      <c r="AA57" s="310"/>
      <c r="AB57" s="310"/>
      <c r="AC57" s="310"/>
      <c r="AD57" s="310"/>
      <c r="AE57" s="310"/>
      <c r="AF57" s="310"/>
      <c r="AG57" s="310"/>
      <c r="AH57" s="310"/>
      <c r="AI57" s="310"/>
      <c r="AJ57" s="310"/>
      <c r="AK57" s="310"/>
      <c r="AL57" s="310"/>
      <c r="AM57" s="310"/>
      <c r="AO57" s="66"/>
      <c r="AP57" s="66" t="str">
        <f t="shared" si="1"/>
        <v>Добавить наименование тарифа</v>
      </c>
      <c r="AQ57" s="66"/>
      <c r="AR57" s="66"/>
      <c r="AS57" s="65">
        <v>1</v>
      </c>
    </row>
    <row r="58" spans="1:45" ht="11.45" customHeight="1">
      <c r="M58" s="10"/>
      <c r="N58" s="10"/>
      <c r="O58" s="10"/>
      <c r="P58" s="10"/>
      <c r="Q58" s="10"/>
      <c r="R58" s="10"/>
      <c r="S58" s="10"/>
      <c r="AN58" s="10"/>
      <c r="AO58" s="10"/>
      <c r="AP58" s="10"/>
      <c r="AQ58" s="10"/>
      <c r="AR58" s="10"/>
      <c r="AS58" s="10">
        <v>11</v>
      </c>
    </row>
    <row r="59" spans="1:45" ht="28.5" customHeight="1">
      <c r="O59" s="10"/>
      <c r="S59" s="195"/>
      <c r="T59" s="1282"/>
      <c r="U59" s="1282"/>
      <c r="V59" s="1282"/>
      <c r="W59" s="1282"/>
      <c r="X59" s="1282"/>
      <c r="Y59" s="1282"/>
      <c r="Z59" s="1282"/>
      <c r="AA59" s="1282"/>
      <c r="AB59" s="1282"/>
      <c r="AC59" s="1282"/>
      <c r="AD59" s="1282"/>
      <c r="AE59" s="1282"/>
      <c r="AF59" s="1282"/>
      <c r="AG59" s="1282"/>
      <c r="AH59" s="1282"/>
      <c r="AI59" s="1282"/>
      <c r="AJ59" s="1282"/>
      <c r="AK59" s="1282"/>
      <c r="AL59" s="1282"/>
      <c r="AM59" s="1282"/>
      <c r="AS59" s="10">
        <v>27</v>
      </c>
    </row>
    <row r="60" spans="1:45" ht="65.25" customHeight="1">
      <c r="O60" s="10"/>
      <c r="T60" s="1282"/>
      <c r="U60" s="1282"/>
      <c r="V60" s="1282"/>
      <c r="W60" s="1282"/>
      <c r="X60" s="1282"/>
      <c r="Y60" s="1282"/>
      <c r="Z60" s="1282"/>
      <c r="AA60" s="1282"/>
      <c r="AB60" s="1282"/>
      <c r="AC60" s="1282"/>
      <c r="AD60" s="1282"/>
      <c r="AE60" s="1282"/>
      <c r="AF60" s="1282"/>
      <c r="AG60" s="1282"/>
      <c r="AH60" s="1282"/>
      <c r="AI60" s="1282"/>
      <c r="AJ60" s="1282"/>
      <c r="AK60" s="1282"/>
      <c r="AL60" s="1282"/>
      <c r="AM60" s="1282"/>
      <c r="AS60" s="10">
        <v>62</v>
      </c>
    </row>
    <row r="61" spans="1:45" ht="14.65" customHeight="1">
      <c r="O61" s="10"/>
      <c r="AS61" s="10">
        <v>14</v>
      </c>
    </row>
    <row r="62" spans="1:45" ht="18.75" customHeight="1">
      <c r="O62" s="10"/>
      <c r="S62" s="195"/>
      <c r="T62" s="1282"/>
      <c r="U62" s="1282"/>
      <c r="V62" s="1282"/>
      <c r="W62" s="1282"/>
      <c r="X62" s="1282"/>
      <c r="Y62" s="1282"/>
      <c r="Z62" s="1282"/>
      <c r="AA62" s="1282"/>
      <c r="AB62" s="1282"/>
      <c r="AC62" s="1282"/>
      <c r="AD62" s="1282"/>
      <c r="AE62" s="1282"/>
      <c r="AF62" s="1282"/>
      <c r="AG62" s="1282"/>
      <c r="AH62" s="1282"/>
      <c r="AI62" s="1282"/>
      <c r="AJ62" s="1282"/>
      <c r="AK62" s="1282"/>
      <c r="AL62" s="1282"/>
      <c r="AM62" s="1282"/>
      <c r="AS62" s="10">
        <v>18</v>
      </c>
    </row>
    <row r="63" spans="1:45" ht="18.75" customHeight="1">
      <c r="O63" s="10"/>
      <c r="T63" s="1282"/>
      <c r="U63" s="1282"/>
      <c r="V63" s="1282"/>
      <c r="W63" s="1282"/>
      <c r="X63" s="1282"/>
      <c r="Y63" s="1282"/>
      <c r="Z63" s="1282"/>
      <c r="AA63" s="1282"/>
      <c r="AB63" s="1282"/>
      <c r="AC63" s="1282"/>
      <c r="AD63" s="1282"/>
      <c r="AE63" s="1282"/>
      <c r="AF63" s="1282"/>
      <c r="AG63" s="1282"/>
      <c r="AH63" s="1282"/>
      <c r="AI63" s="1282"/>
      <c r="AJ63" s="1282"/>
      <c r="AK63" s="1282"/>
      <c r="AL63" s="1282"/>
      <c r="AM63" s="1282"/>
      <c r="AS63" s="10">
        <v>18</v>
      </c>
    </row>
    <row r="64" spans="1:45" ht="29.25" customHeight="1">
      <c r="O64" s="10"/>
      <c r="S64" s="195"/>
      <c r="T64" s="1282"/>
      <c r="U64" s="1282"/>
      <c r="V64" s="1282"/>
      <c r="W64" s="1282"/>
      <c r="X64" s="1282"/>
      <c r="Y64" s="1282"/>
      <c r="Z64" s="1282"/>
      <c r="AA64" s="1282"/>
      <c r="AB64" s="1282"/>
      <c r="AC64" s="1282"/>
      <c r="AD64" s="1282"/>
      <c r="AE64" s="1282"/>
      <c r="AF64" s="1282"/>
      <c r="AG64" s="1282"/>
      <c r="AH64" s="1282"/>
      <c r="AI64" s="1282"/>
      <c r="AJ64" s="1282"/>
      <c r="AK64" s="1282"/>
      <c r="AL64" s="1282"/>
      <c r="AM64" s="1282"/>
      <c r="AS64" s="10">
        <v>28</v>
      </c>
    </row>
    <row r="65" spans="1:45" ht="22.5" hidden="1" customHeight="1">
      <c r="A65" s="10" t="s">
        <v>80</v>
      </c>
      <c r="B65" s="10">
        <v>0</v>
      </c>
      <c r="C65" s="10">
        <v>0</v>
      </c>
      <c r="D65" s="10">
        <v>0</v>
      </c>
      <c r="E65" s="10">
        <v>0</v>
      </c>
      <c r="F65" s="10">
        <v>0</v>
      </c>
      <c r="G65" s="10">
        <v>0</v>
      </c>
      <c r="H65" s="10">
        <v>0</v>
      </c>
      <c r="I65" s="10">
        <v>0</v>
      </c>
      <c r="J65" s="10">
        <v>0</v>
      </c>
      <c r="K65" s="10">
        <v>0</v>
      </c>
      <c r="L65" s="56">
        <v>0</v>
      </c>
      <c r="M65" s="32">
        <v>0</v>
      </c>
      <c r="N65" s="32">
        <v>0</v>
      </c>
      <c r="O65" s="32">
        <v>0</v>
      </c>
      <c r="P65" s="32">
        <v>3</v>
      </c>
      <c r="Q65" s="28">
        <v>3</v>
      </c>
      <c r="R65" s="28">
        <v>3</v>
      </c>
      <c r="S65" s="339">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5">
        <v>10</v>
      </c>
      <c r="AO65" s="65">
        <v>10</v>
      </c>
      <c r="AP65" s="65">
        <v>10</v>
      </c>
      <c r="AQ65" s="65">
        <v>10</v>
      </c>
      <c r="AR65" s="65">
        <v>10</v>
      </c>
      <c r="AS65" s="1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8" hidden="1" customWidth="1"/>
    <col min="13" max="14" width="12.28515625" style="503" hidden="1" customWidth="1"/>
    <col min="15" max="15" width="23.42578125" style="503" hidden="1" customWidth="1"/>
    <col min="16" max="16" width="3" style="32" customWidth="1"/>
    <col min="17" max="18" width="3" style="28" customWidth="1"/>
    <col min="19" max="19" width="12" style="339" customWidth="1"/>
    <col min="20" max="20" width="31" style="10" customWidth="1"/>
    <col min="21" max="21" width="0.7109375" style="10" hidden="1" customWidth="1"/>
    <col min="22" max="22" width="1.7109375" style="10" hidden="1" customWidth="1"/>
    <col min="23" max="23" width="24.7109375" style="10" hidden="1" customWidth="1"/>
    <col min="24" max="25" width="0.14062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0.140625" style="10" customWidth="1"/>
    <col min="31" max="31" width="24" style="10" customWidth="1"/>
    <col min="32" max="33" width="0.140625"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66"/>
      <c r="B2" s="766"/>
      <c r="C2" s="766"/>
      <c r="D2" s="766"/>
      <c r="E2" s="1283">
        <v>1</v>
      </c>
      <c r="F2" s="766"/>
      <c r="G2" s="766"/>
      <c r="H2" s="766"/>
      <c r="I2" s="766"/>
      <c r="J2" s="766"/>
      <c r="K2" s="766"/>
      <c r="L2" s="767"/>
      <c r="M2" s="423"/>
      <c r="N2" s="423"/>
      <c r="O2" s="423"/>
      <c r="Q2" s="33"/>
      <c r="R2" s="204"/>
      <c r="S2" s="706" t="e">
        <f>INDEX(PT_DIFFERENTIATION_NUM_NTAR,MATCH(A2,PT_DIFFERENTIATION_NTAR_ID,0))</f>
        <v>#N/A</v>
      </c>
      <c r="T2" s="64" t="s">
        <v>121</v>
      </c>
      <c r="U2" s="168"/>
      <c r="V2" s="1277"/>
      <c r="W2" s="1278"/>
      <c r="X2" s="1278"/>
      <c r="Y2" s="1278"/>
      <c r="Z2" s="1278"/>
      <c r="AA2" s="1278"/>
      <c r="AB2" s="1278"/>
      <c r="AC2" s="1279"/>
      <c r="AD2" s="1277" t="e">
        <f>INDEX(PT_DIFFERENTIATION_NTAR,MATCH(A2,PT_DIFFERENTIATION_NTAR_ID,0))</f>
        <v>#N/A</v>
      </c>
      <c r="AE2" s="1278"/>
      <c r="AF2" s="1278"/>
      <c r="AG2" s="1278"/>
      <c r="AH2" s="1278"/>
      <c r="AI2" s="1278"/>
      <c r="AJ2" s="1278"/>
      <c r="AK2" s="1278"/>
      <c r="AL2" s="1279"/>
      <c r="AM2" s="726" t="s">
        <v>396</v>
      </c>
      <c r="AO2" s="66"/>
      <c r="AP2" s="66" t="str">
        <f t="shared" ref="AP2:AP15" si="0">IF(T2="","",T2)</f>
        <v>Наименование тарифа</v>
      </c>
      <c r="AQ2" s="66"/>
      <c r="AR2" s="66"/>
      <c r="AS2" s="10">
        <v>0</v>
      </c>
    </row>
    <row r="3" spans="1:45" ht="21" hidden="1" customHeight="1">
      <c r="A3" s="766"/>
      <c r="B3" s="766"/>
      <c r="C3" s="766"/>
      <c r="D3" s="766"/>
      <c r="E3" s="1284"/>
      <c r="F3" s="1283">
        <v>1</v>
      </c>
      <c r="G3" s="766"/>
      <c r="H3" s="766"/>
      <c r="I3" s="766"/>
      <c r="J3" s="766"/>
      <c r="K3" s="766"/>
      <c r="L3" s="767"/>
      <c r="M3" s="423"/>
      <c r="N3" s="423"/>
      <c r="O3" s="423"/>
      <c r="P3" s="56"/>
      <c r="Q3" s="201"/>
      <c r="R3" s="202"/>
      <c r="S3" s="706" t="e">
        <f>INDEX(PT_DIFFERENTIATION_NUM_TER,MATCH(B3,PT_DIFFERENTIATION_TER_ID,0))</f>
        <v>#N/A</v>
      </c>
      <c r="T3" s="174" t="s">
        <v>397</v>
      </c>
      <c r="U3" s="168"/>
      <c r="V3" s="1277"/>
      <c r="W3" s="1278"/>
      <c r="X3" s="1278"/>
      <c r="Y3" s="1278"/>
      <c r="Z3" s="1278"/>
      <c r="AA3" s="1278"/>
      <c r="AB3" s="1278"/>
      <c r="AC3" s="1279"/>
      <c r="AD3" s="1277" t="e">
        <f>INDEX(PT_DIFFERENTIATION_TER,MATCH(B3,PT_DIFFERENTIATION_TER_ID,0))</f>
        <v>#N/A</v>
      </c>
      <c r="AE3" s="1278"/>
      <c r="AF3" s="1278"/>
      <c r="AG3" s="1278"/>
      <c r="AH3" s="1278"/>
      <c r="AI3" s="1278"/>
      <c r="AJ3" s="1278"/>
      <c r="AK3" s="1278"/>
      <c r="AL3" s="1279"/>
      <c r="AM3" s="726" t="s">
        <v>398</v>
      </c>
      <c r="AO3" s="66"/>
      <c r="AP3" s="66" t="str">
        <f t="shared" si="0"/>
        <v>Территория действия тарифа</v>
      </c>
      <c r="AQ3" s="66"/>
      <c r="AR3" s="66"/>
      <c r="AS3" s="10">
        <v>0</v>
      </c>
    </row>
    <row r="4" spans="1:45" ht="23.25" hidden="1" customHeight="1">
      <c r="A4" s="766"/>
      <c r="B4" s="766"/>
      <c r="C4" s="766"/>
      <c r="D4" s="766"/>
      <c r="E4" s="1284"/>
      <c r="F4" s="1284"/>
      <c r="G4" s="1283">
        <v>1</v>
      </c>
      <c r="H4" s="766"/>
      <c r="I4" s="766"/>
      <c r="J4" s="766"/>
      <c r="K4" s="766"/>
      <c r="L4" s="767"/>
      <c r="M4" s="423"/>
      <c r="N4" s="423"/>
      <c r="O4" s="423"/>
      <c r="P4" s="203"/>
      <c r="Q4" s="201"/>
      <c r="R4" s="202"/>
      <c r="S4" s="706" t="e">
        <f>INDEX(PT_DIFFERENTIATION_NUM_CS,MATCH(C4,PT_DIFFERENTIATION_CS_ID,0))</f>
        <v>#N/A</v>
      </c>
      <c r="T4" s="175" t="s">
        <v>399</v>
      </c>
      <c r="U4" s="168"/>
      <c r="V4" s="1277"/>
      <c r="W4" s="1278"/>
      <c r="X4" s="1278"/>
      <c r="Y4" s="1278"/>
      <c r="Z4" s="1278"/>
      <c r="AA4" s="1278"/>
      <c r="AB4" s="1278"/>
      <c r="AC4" s="1279"/>
      <c r="AD4" s="1277" t="e">
        <f>INDEX(PT_DIFFERENTIATION_CS,MATCH(C4,PT_DIFFERENTIATION_CS_ID,0))</f>
        <v>#N/A</v>
      </c>
      <c r="AE4" s="1278"/>
      <c r="AF4" s="1278"/>
      <c r="AG4" s="1278"/>
      <c r="AH4" s="1278"/>
      <c r="AI4" s="1278"/>
      <c r="AJ4" s="1278"/>
      <c r="AK4" s="1278"/>
      <c r="AL4" s="1279"/>
      <c r="AM4" s="726" t="s">
        <v>400</v>
      </c>
      <c r="AO4" s="66"/>
      <c r="AP4" s="66" t="str">
        <f t="shared" si="0"/>
        <v xml:space="preserve">Наименование системы теплоснабжения </v>
      </c>
      <c r="AQ4" s="66"/>
      <c r="AR4" s="66"/>
      <c r="AS4" s="10">
        <v>0</v>
      </c>
    </row>
    <row r="5" spans="1:45" ht="21" hidden="1" customHeight="1">
      <c r="A5" s="766"/>
      <c r="B5" s="766"/>
      <c r="C5" s="766"/>
      <c r="D5" s="766"/>
      <c r="E5" s="1284"/>
      <c r="F5" s="1284"/>
      <c r="G5" s="1284"/>
      <c r="H5" s="1283">
        <v>1</v>
      </c>
      <c r="I5" s="766"/>
      <c r="J5" s="766"/>
      <c r="K5" s="766"/>
      <c r="L5" s="767"/>
      <c r="M5" s="423"/>
      <c r="N5" s="423"/>
      <c r="O5" s="423"/>
      <c r="P5" s="203"/>
      <c r="Q5" s="201"/>
      <c r="R5" s="202"/>
      <c r="S5" s="706" t="e">
        <f>INDEX(PT_DIFFERENTIATION_NUM_IST_TE,MATCH(D5,PT_DIFFERENTIATION_IST_TE_ID,0))</f>
        <v>#N/A</v>
      </c>
      <c r="T5" s="176" t="s">
        <v>401</v>
      </c>
      <c r="U5" s="168"/>
      <c r="V5" s="1277"/>
      <c r="W5" s="1278"/>
      <c r="X5" s="1278"/>
      <c r="Y5" s="1278"/>
      <c r="Z5" s="1278"/>
      <c r="AA5" s="1278"/>
      <c r="AB5" s="1278"/>
      <c r="AC5" s="1279"/>
      <c r="AD5" s="1277" t="e">
        <f>INDEX(PT_DIFFERENTIATION_IST_TE,MATCH(D5,PT_DIFFERENTIATION_IST_TE_ID,0))</f>
        <v>#N/A</v>
      </c>
      <c r="AE5" s="1278"/>
      <c r="AF5" s="1278"/>
      <c r="AG5" s="1278"/>
      <c r="AH5" s="1278"/>
      <c r="AI5" s="1278"/>
      <c r="AJ5" s="1278"/>
      <c r="AK5" s="1278"/>
      <c r="AL5" s="1279"/>
      <c r="AM5" s="726" t="s">
        <v>402</v>
      </c>
      <c r="AO5" s="66"/>
      <c r="AP5" s="66" t="str">
        <f t="shared" si="0"/>
        <v xml:space="preserve">Источник тепловой энергии  </v>
      </c>
      <c r="AQ5" s="66"/>
      <c r="AR5" s="66"/>
      <c r="AS5" s="10">
        <v>0</v>
      </c>
    </row>
    <row r="6" spans="1:45" ht="47.25" hidden="1" customHeight="1">
      <c r="A6" s="766"/>
      <c r="B6" s="766"/>
      <c r="C6" s="766"/>
      <c r="D6" s="766"/>
      <c r="E6" s="1284"/>
      <c r="F6" s="1284"/>
      <c r="G6" s="1284"/>
      <c r="H6" s="1284"/>
      <c r="I6" s="1285" t="e">
        <f>S5&amp;".1"</f>
        <v>#N/A</v>
      </c>
      <c r="J6" s="766"/>
      <c r="K6" s="766"/>
      <c r="L6" s="767" t="s">
        <v>403</v>
      </c>
      <c r="M6" s="60"/>
      <c r="P6" s="1287">
        <v>1</v>
      </c>
      <c r="Q6" s="119"/>
      <c r="R6" s="205"/>
      <c r="S6" s="706" t="e">
        <f>$I6</f>
        <v>#N/A</v>
      </c>
      <c r="T6" s="161" t="s">
        <v>404</v>
      </c>
      <c r="U6" s="168"/>
      <c r="V6" s="1271"/>
      <c r="W6" s="1272"/>
      <c r="X6" s="1272"/>
      <c r="Y6" s="1272"/>
      <c r="Z6" s="1272"/>
      <c r="AA6" s="1272"/>
      <c r="AB6" s="1272"/>
      <c r="AC6" s="1273"/>
      <c r="AD6" s="1271"/>
      <c r="AE6" s="1272"/>
      <c r="AF6" s="1272"/>
      <c r="AG6" s="1272"/>
      <c r="AH6" s="1272"/>
      <c r="AI6" s="1272"/>
      <c r="AJ6" s="1272"/>
      <c r="AK6" s="1272"/>
      <c r="AL6" s="1273"/>
      <c r="AM6" s="726" t="s">
        <v>405</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66"/>
      <c r="B7" s="766"/>
      <c r="C7" s="766"/>
      <c r="D7" s="766"/>
      <c r="E7" s="1284"/>
      <c r="F7" s="1284"/>
      <c r="G7" s="1284"/>
      <c r="H7" s="1284"/>
      <c r="I7" s="1286"/>
      <c r="J7" s="1285" t="e">
        <f>I6&amp;".1"</f>
        <v>#N/A</v>
      </c>
      <c r="K7" s="766"/>
      <c r="L7" s="767" t="s">
        <v>406</v>
      </c>
      <c r="M7" s="60"/>
      <c r="N7" s="60"/>
      <c r="P7" s="1287"/>
      <c r="Q7" s="1287">
        <v>1</v>
      </c>
      <c r="R7" s="206"/>
      <c r="S7" s="706" t="e">
        <f>$J7</f>
        <v>#N/A</v>
      </c>
      <c r="T7" s="162" t="s">
        <v>407</v>
      </c>
      <c r="U7" s="168"/>
      <c r="V7" s="1271"/>
      <c r="W7" s="1272"/>
      <c r="X7" s="1272"/>
      <c r="Y7" s="1272"/>
      <c r="Z7" s="1272"/>
      <c r="AA7" s="1272"/>
      <c r="AB7" s="1272"/>
      <c r="AC7" s="1273"/>
      <c r="AD7" s="1271"/>
      <c r="AE7" s="1272"/>
      <c r="AF7" s="1272"/>
      <c r="AG7" s="1272"/>
      <c r="AH7" s="1272"/>
      <c r="AI7" s="1272"/>
      <c r="AJ7" s="1272"/>
      <c r="AK7" s="1272"/>
      <c r="AL7" s="1273"/>
      <c r="AM7" s="726" t="s">
        <v>408</v>
      </c>
      <c r="AO7" s="66"/>
      <c r="AP7" s="66" t="str">
        <f t="shared" si="0"/>
        <v>Группа потребителей</v>
      </c>
      <c r="AQ7" s="66"/>
      <c r="AR7" s="66"/>
      <c r="AS7" s="10">
        <v>0</v>
      </c>
    </row>
    <row r="8" spans="1:45" ht="21" hidden="1" customHeight="1">
      <c r="A8" s="766"/>
      <c r="B8" s="766"/>
      <c r="C8" s="766"/>
      <c r="D8" s="766"/>
      <c r="E8" s="1284"/>
      <c r="F8" s="1284"/>
      <c r="G8" s="1284"/>
      <c r="H8" s="1284"/>
      <c r="I8" s="1286"/>
      <c r="J8" s="1286"/>
      <c r="K8" s="1285" t="e">
        <f>J7&amp;".1"</f>
        <v>#N/A</v>
      </c>
      <c r="L8" s="767" t="s">
        <v>409</v>
      </c>
      <c r="M8" s="60"/>
      <c r="N8" s="60"/>
      <c r="O8" s="60"/>
      <c r="P8" s="1287"/>
      <c r="Q8" s="1287"/>
      <c r="R8" s="206">
        <v>1</v>
      </c>
      <c r="S8" s="706" t="e">
        <f>$K8</f>
        <v>#N/A</v>
      </c>
      <c r="T8" s="762"/>
      <c r="U8" s="168"/>
      <c r="V8" s="188"/>
      <c r="W8" s="303"/>
      <c r="X8" s="188"/>
      <c r="Y8" s="216"/>
      <c r="Z8" s="1288"/>
      <c r="AA8" s="1156" t="s">
        <v>64</v>
      </c>
      <c r="AB8" s="1288"/>
      <c r="AC8" s="1156" t="s">
        <v>64</v>
      </c>
      <c r="AD8" s="188"/>
      <c r="AE8" s="303"/>
      <c r="AF8" s="188"/>
      <c r="AG8" s="216"/>
      <c r="AH8" s="1288"/>
      <c r="AI8" s="1156" t="s">
        <v>64</v>
      </c>
      <c r="AJ8" s="1288"/>
      <c r="AK8" s="1156" t="s">
        <v>64</v>
      </c>
      <c r="AL8" s="188"/>
      <c r="AM8" s="1306" t="s">
        <v>410</v>
      </c>
      <c r="AN8" s="65" t="e">
        <f ca="1">STRCHECKDATE(V9:AL9)</f>
        <v>#NAME?</v>
      </c>
      <c r="AO8" s="66"/>
      <c r="AP8" s="66" t="str">
        <f t="shared" si="0"/>
        <v/>
      </c>
      <c r="AQ8" s="66"/>
      <c r="AR8" s="66"/>
      <c r="AS8" s="10">
        <v>0</v>
      </c>
    </row>
    <row r="9" spans="1:45" ht="0.75" hidden="1" customHeight="1">
      <c r="A9" s="766"/>
      <c r="B9" s="766"/>
      <c r="C9" s="766"/>
      <c r="D9" s="766"/>
      <c r="E9" s="1284"/>
      <c r="F9" s="1284"/>
      <c r="G9" s="1284"/>
      <c r="H9" s="1284"/>
      <c r="I9" s="1286"/>
      <c r="J9" s="1286"/>
      <c r="K9" s="1285"/>
      <c r="L9" s="767"/>
      <c r="M9" s="60"/>
      <c r="N9" s="60"/>
      <c r="O9" s="60"/>
      <c r="P9" s="1287"/>
      <c r="Q9" s="1287"/>
      <c r="R9" s="206"/>
      <c r="S9" s="62"/>
      <c r="T9" s="168"/>
      <c r="U9" s="168"/>
      <c r="V9" s="188"/>
      <c r="W9" s="188"/>
      <c r="X9" s="188"/>
      <c r="Y9" s="189" t="str">
        <f>Z8&amp;"-"&amp;AB8</f>
        <v>-</v>
      </c>
      <c r="Z9" s="1289"/>
      <c r="AA9" s="1156"/>
      <c r="AB9" s="1289"/>
      <c r="AC9" s="1156"/>
      <c r="AD9" s="188"/>
      <c r="AE9" s="188"/>
      <c r="AF9" s="188"/>
      <c r="AG9" s="189" t="str">
        <f>AH8&amp;"-"&amp;AJ8</f>
        <v>-</v>
      </c>
      <c r="AH9" s="1289"/>
      <c r="AI9" s="1156"/>
      <c r="AJ9" s="1289"/>
      <c r="AK9" s="1156"/>
      <c r="AL9" s="188"/>
      <c r="AM9" s="1307"/>
      <c r="AO9" s="66"/>
      <c r="AP9" s="66" t="str">
        <f t="shared" si="0"/>
        <v/>
      </c>
      <c r="AQ9" s="66"/>
      <c r="AR9" s="66"/>
      <c r="AS9" s="10">
        <v>0</v>
      </c>
    </row>
    <row r="10" spans="1:45" ht="15" hidden="1" customHeight="1">
      <c r="A10" s="766"/>
      <c r="B10" s="766"/>
      <c r="C10" s="766"/>
      <c r="D10" s="766"/>
      <c r="E10" s="1284"/>
      <c r="F10" s="1284"/>
      <c r="G10" s="1284"/>
      <c r="H10" s="1284"/>
      <c r="I10" s="1286"/>
      <c r="J10" s="1285"/>
      <c r="K10" s="766"/>
      <c r="L10" s="767"/>
      <c r="M10" s="60"/>
      <c r="N10" s="60"/>
      <c r="P10" s="1287"/>
      <c r="Q10" s="1287"/>
      <c r="R10" s="205"/>
      <c r="S10" s="739"/>
      <c r="T10" s="164" t="s">
        <v>411</v>
      </c>
      <c r="U10" s="210"/>
      <c r="V10" s="210"/>
      <c r="W10" s="210"/>
      <c r="X10" s="210"/>
      <c r="Y10" s="210"/>
      <c r="Z10" s="210"/>
      <c r="AA10" s="210"/>
      <c r="AB10" s="210"/>
      <c r="AC10" s="210"/>
      <c r="AD10" s="210"/>
      <c r="AE10" s="210"/>
      <c r="AF10" s="210"/>
      <c r="AG10" s="210"/>
      <c r="AH10" s="210"/>
      <c r="AI10" s="210"/>
      <c r="AJ10" s="210"/>
      <c r="AK10" s="210"/>
      <c r="AL10" s="187"/>
      <c r="AM10" s="1308"/>
      <c r="AO10" s="66"/>
      <c r="AP10" s="66" t="str">
        <f t="shared" si="0"/>
        <v>Добавить вид теплоносителя (параметры теплоносителя)</v>
      </c>
      <c r="AQ10" s="66"/>
      <c r="AR10" s="66"/>
      <c r="AS10" s="10">
        <v>0</v>
      </c>
    </row>
    <row r="11" spans="1:45" ht="15" hidden="1" customHeight="1">
      <c r="A11" s="766"/>
      <c r="B11" s="766"/>
      <c r="C11" s="766"/>
      <c r="D11" s="766"/>
      <c r="E11" s="1284"/>
      <c r="F11" s="1284"/>
      <c r="G11" s="1284"/>
      <c r="H11" s="1284"/>
      <c r="I11" s="1285"/>
      <c r="J11" s="766"/>
      <c r="K11" s="766"/>
      <c r="L11" s="767"/>
      <c r="M11" s="60"/>
      <c r="P11" s="1287"/>
      <c r="Q11" s="119"/>
      <c r="R11" s="205"/>
      <c r="S11" s="739"/>
      <c r="T11" s="163" t="s">
        <v>412</v>
      </c>
      <c r="U11" s="210"/>
      <c r="V11" s="210"/>
      <c r="W11" s="210"/>
      <c r="X11" s="210"/>
      <c r="Y11" s="210"/>
      <c r="Z11" s="210"/>
      <c r="AA11" s="210"/>
      <c r="AB11" s="210"/>
      <c r="AC11" s="209"/>
      <c r="AD11" s="210"/>
      <c r="AE11" s="210"/>
      <c r="AF11" s="210"/>
      <c r="AG11" s="210"/>
      <c r="AH11" s="210"/>
      <c r="AI11" s="210"/>
      <c r="AJ11" s="210"/>
      <c r="AK11" s="209"/>
      <c r="AL11" s="210"/>
      <c r="AM11" s="171"/>
      <c r="AO11" s="66"/>
      <c r="AP11" s="66" t="str">
        <f t="shared" si="0"/>
        <v>Добавить группу потребителей</v>
      </c>
      <c r="AQ11" s="66"/>
      <c r="AR11" s="66"/>
      <c r="AS11" s="10">
        <v>0</v>
      </c>
    </row>
    <row r="12" spans="1:45" ht="14.25" hidden="1" customHeight="1">
      <c r="A12" s="766"/>
      <c r="B12" s="766"/>
      <c r="C12" s="766"/>
      <c r="D12" s="766"/>
      <c r="E12" s="1284"/>
      <c r="F12" s="1284"/>
      <c r="G12" s="1284"/>
      <c r="H12" s="1283"/>
      <c r="I12" s="766"/>
      <c r="J12" s="766"/>
      <c r="K12" s="766"/>
      <c r="L12" s="767"/>
      <c r="M12" s="423"/>
      <c r="N12" s="423"/>
      <c r="O12" s="60"/>
      <c r="P12" s="33"/>
      <c r="Q12" s="213"/>
      <c r="R12" s="204"/>
      <c r="S12" s="739"/>
      <c r="T12" s="208" t="s">
        <v>413</v>
      </c>
      <c r="U12" s="210"/>
      <c r="V12" s="210"/>
      <c r="W12" s="210"/>
      <c r="X12" s="210"/>
      <c r="Y12" s="210"/>
      <c r="Z12" s="210"/>
      <c r="AA12" s="210"/>
      <c r="AB12" s="210"/>
      <c r="AC12" s="209"/>
      <c r="AD12" s="210"/>
      <c r="AE12" s="210"/>
      <c r="AF12" s="210"/>
      <c r="AG12" s="210"/>
      <c r="AH12" s="210"/>
      <c r="AI12" s="210"/>
      <c r="AJ12" s="210"/>
      <c r="AK12" s="209"/>
      <c r="AL12" s="210"/>
      <c r="AM12" s="171"/>
      <c r="AO12" s="66"/>
      <c r="AP12" s="66" t="str">
        <f t="shared" si="0"/>
        <v>Добавить схему подключения</v>
      </c>
      <c r="AQ12" s="66"/>
      <c r="AR12" s="66"/>
      <c r="AS12" s="10">
        <v>0</v>
      </c>
    </row>
    <row r="13" spans="1:45" s="65" customFormat="1" ht="0.75" hidden="1" customHeight="1">
      <c r="A13" s="142"/>
      <c r="B13" s="142"/>
      <c r="C13" s="142"/>
      <c r="D13" s="142"/>
      <c r="E13" s="1284"/>
      <c r="F13" s="1284"/>
      <c r="G13" s="1283"/>
      <c r="H13" s="142"/>
      <c r="I13" s="142"/>
      <c r="J13" s="142"/>
      <c r="K13" s="142"/>
      <c r="L13" s="343"/>
      <c r="M13" s="290"/>
      <c r="N13" s="290"/>
      <c r="P13" s="101"/>
      <c r="Q13" s="752"/>
      <c r="R13" s="101"/>
      <c r="S13" s="753"/>
      <c r="T13" s="754" t="s">
        <v>414</v>
      </c>
      <c r="U13" s="755"/>
      <c r="V13" s="755"/>
      <c r="W13" s="755"/>
      <c r="X13" s="755"/>
      <c r="Y13" s="755"/>
      <c r="Z13" s="755"/>
      <c r="AA13" s="755"/>
      <c r="AB13" s="755"/>
      <c r="AC13" s="755"/>
      <c r="AD13" s="755"/>
      <c r="AE13" s="755"/>
      <c r="AF13" s="755"/>
      <c r="AG13" s="755"/>
      <c r="AH13" s="755"/>
      <c r="AI13" s="755"/>
      <c r="AJ13" s="755"/>
      <c r="AK13" s="755"/>
      <c r="AL13" s="755"/>
      <c r="AM13" s="755"/>
      <c r="AO13" s="66"/>
      <c r="AP13" s="66" t="str">
        <f t="shared" si="0"/>
        <v>Добавить источник для дифференциации</v>
      </c>
      <c r="AQ13" s="66"/>
      <c r="AR13" s="66"/>
      <c r="AS13" s="65">
        <v>0</v>
      </c>
    </row>
    <row r="14" spans="1:45" s="65" customFormat="1" ht="0.75" hidden="1" customHeight="1">
      <c r="A14" s="142"/>
      <c r="B14" s="142"/>
      <c r="C14" s="142"/>
      <c r="D14" s="142"/>
      <c r="E14" s="1284"/>
      <c r="F14" s="1283"/>
      <c r="G14" s="142"/>
      <c r="H14" s="142"/>
      <c r="I14" s="142"/>
      <c r="J14" s="142"/>
      <c r="K14" s="142"/>
      <c r="L14" s="343"/>
      <c r="M14" s="756"/>
      <c r="N14" s="756"/>
      <c r="P14" s="101"/>
      <c r="Q14" s="752"/>
      <c r="R14" s="101"/>
      <c r="S14" s="757"/>
      <c r="T14" s="758" t="s">
        <v>231</v>
      </c>
      <c r="U14" s="310"/>
      <c r="V14" s="310"/>
      <c r="W14" s="310"/>
      <c r="X14" s="310"/>
      <c r="Y14" s="310"/>
      <c r="Z14" s="310"/>
      <c r="AA14" s="310"/>
      <c r="AB14" s="310"/>
      <c r="AC14" s="310"/>
      <c r="AD14" s="310"/>
      <c r="AE14" s="310"/>
      <c r="AF14" s="310"/>
      <c r="AG14" s="310"/>
      <c r="AH14" s="310"/>
      <c r="AI14" s="310"/>
      <c r="AJ14" s="310"/>
      <c r="AK14" s="310"/>
      <c r="AL14" s="310"/>
      <c r="AM14" s="310"/>
      <c r="AO14" s="66"/>
      <c r="AP14" s="66" t="str">
        <f t="shared" si="0"/>
        <v>Добавить централизованную систему для дифференциации</v>
      </c>
      <c r="AQ14" s="66"/>
      <c r="AR14" s="66"/>
      <c r="AS14" s="65">
        <v>0</v>
      </c>
    </row>
    <row r="15" spans="1:45" s="65" customFormat="1" ht="0.75" hidden="1" customHeight="1">
      <c r="A15" s="142"/>
      <c r="B15" s="142"/>
      <c r="C15" s="142"/>
      <c r="D15" s="142"/>
      <c r="E15" s="1283"/>
      <c r="F15" s="142"/>
      <c r="G15" s="142"/>
      <c r="H15" s="142"/>
      <c r="I15" s="142"/>
      <c r="J15" s="142"/>
      <c r="K15" s="142"/>
      <c r="L15" s="343"/>
      <c r="M15" s="756"/>
      <c r="N15" s="756"/>
      <c r="P15" s="101"/>
      <c r="Q15" s="752"/>
      <c r="R15" s="101"/>
      <c r="S15" s="757"/>
      <c r="T15" s="759" t="s">
        <v>232</v>
      </c>
      <c r="U15" s="310"/>
      <c r="V15" s="310"/>
      <c r="W15" s="310"/>
      <c r="X15" s="310"/>
      <c r="Y15" s="310"/>
      <c r="Z15" s="310"/>
      <c r="AA15" s="310"/>
      <c r="AB15" s="310"/>
      <c r="AC15" s="310"/>
      <c r="AD15" s="310"/>
      <c r="AE15" s="310"/>
      <c r="AF15" s="310"/>
      <c r="AG15" s="310"/>
      <c r="AH15" s="310"/>
      <c r="AI15" s="310"/>
      <c r="AJ15" s="310"/>
      <c r="AK15" s="310"/>
      <c r="AL15" s="310"/>
      <c r="AM15" s="310"/>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5"/>
      <c r="AE17" s="365"/>
      <c r="AF17" s="365"/>
      <c r="AG17" s="765"/>
      <c r="AH17" s="1281"/>
      <c r="AI17" s="1280" t="s">
        <v>64</v>
      </c>
      <c r="AJ17" s="1281"/>
      <c r="AK17" s="1280" t="s">
        <v>64</v>
      </c>
      <c r="AS17" s="10">
        <v>0</v>
      </c>
    </row>
    <row r="18" spans="1:45" ht="14.25" hidden="1" customHeight="1">
      <c r="AD18" s="365"/>
      <c r="AE18" s="365"/>
      <c r="AF18" s="365"/>
      <c r="AG18" s="189" t="str">
        <f>AH17&amp;"-"&amp;AJ17</f>
        <v>-</v>
      </c>
      <c r="AH18" s="1280"/>
      <c r="AI18" s="1280"/>
      <c r="AJ18" s="1280"/>
      <c r="AK18" s="1280"/>
      <c r="AS18" s="10">
        <v>0</v>
      </c>
    </row>
    <row r="19" spans="1:45" ht="14.25" hidden="1" customHeight="1">
      <c r="AS19" s="10">
        <v>0</v>
      </c>
    </row>
    <row r="20" spans="1:45" s="60" customFormat="1" ht="22.5" hidden="1" customHeight="1">
      <c r="L20" s="298"/>
      <c r="M20" s="503"/>
      <c r="N20" s="503"/>
      <c r="O20" s="768" t="s">
        <v>415</v>
      </c>
      <c r="P20" s="503"/>
      <c r="Q20" s="769"/>
      <c r="R20" s="769"/>
      <c r="S20" s="423"/>
      <c r="Z20" s="768"/>
      <c r="AB20" s="768"/>
      <c r="AH20" s="768"/>
      <c r="AJ20" s="768"/>
      <c r="AN20" s="65"/>
      <c r="AO20" s="65"/>
      <c r="AP20" s="65"/>
      <c r="AQ20" s="65"/>
      <c r="AR20" s="65"/>
      <c r="AS20" s="60">
        <v>0</v>
      </c>
    </row>
    <row r="21" spans="1:45" s="60" customFormat="1" ht="14.25" hidden="1" customHeight="1">
      <c r="L21" s="298"/>
      <c r="M21" s="503"/>
      <c r="N21" s="503"/>
      <c r="O21" s="503"/>
      <c r="P21" s="503"/>
      <c r="Q21" s="769"/>
      <c r="R21" s="769"/>
      <c r="S21" s="423"/>
      <c r="AN21" s="65"/>
      <c r="AO21" s="65"/>
      <c r="AP21" s="65"/>
      <c r="AQ21" s="65"/>
      <c r="AR21" s="65"/>
      <c r="AS21" s="60">
        <v>0</v>
      </c>
    </row>
    <row r="22" spans="1:45" s="60" customFormat="1" ht="33.75" hidden="1" customHeight="1">
      <c r="L22" s="298"/>
      <c r="M22" s="503"/>
      <c r="N22" s="503"/>
      <c r="O22" s="767" t="s">
        <v>416</v>
      </c>
      <c r="P22" s="503"/>
      <c r="Q22" s="769"/>
      <c r="R22" s="769"/>
      <c r="S22" s="423"/>
      <c r="T22" s="60" t="s">
        <v>417</v>
      </c>
      <c r="AA22" s="79" t="s">
        <v>418</v>
      </c>
      <c r="AC22" s="79" t="s">
        <v>419</v>
      </c>
      <c r="AD22" s="60" t="s">
        <v>417</v>
      </c>
      <c r="AI22" s="79" t="s">
        <v>420</v>
      </c>
      <c r="AK22" s="79" t="s">
        <v>419</v>
      </c>
      <c r="AN22" s="65"/>
      <c r="AO22" s="65"/>
      <c r="AP22" s="65"/>
      <c r="AQ22" s="65"/>
      <c r="AR22" s="65"/>
      <c r="AS22" s="60">
        <v>0</v>
      </c>
    </row>
    <row r="23" spans="1:45" ht="14.25" hidden="1" customHeight="1">
      <c r="O23" s="767"/>
      <c r="AS23" s="10">
        <v>0</v>
      </c>
    </row>
    <row r="24" spans="1:45" ht="14.25" hidden="1" customHeight="1">
      <c r="O24" s="767"/>
      <c r="AS24" s="10">
        <v>0</v>
      </c>
    </row>
    <row r="25" spans="1:45" ht="14.65" customHeight="1">
      <c r="Q25" s="27"/>
      <c r="R25" s="27"/>
      <c r="S25" s="736"/>
      <c r="T25" s="9"/>
      <c r="U25" s="9"/>
      <c r="AS25" s="10">
        <v>14</v>
      </c>
    </row>
    <row r="26" spans="1:45" ht="29.25" customHeight="1">
      <c r="Q26" s="27"/>
      <c r="R26" s="27"/>
      <c r="S26" s="1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4"/>
      <c r="U26" s="1264"/>
      <c r="V26" s="1264"/>
      <c r="W26" s="1264"/>
      <c r="X26" s="1264"/>
      <c r="Y26" s="1264"/>
      <c r="Z26" s="1264"/>
      <c r="AA26" s="1264"/>
      <c r="AB26" s="1264"/>
      <c r="AC26" s="1264"/>
      <c r="AD26" s="1264"/>
      <c r="AE26" s="1264"/>
      <c r="AF26" s="1264"/>
      <c r="AG26" s="1264"/>
      <c r="AH26" s="1264"/>
      <c r="AI26" s="1264"/>
      <c r="AJ26" s="1264"/>
      <c r="AK26" s="57"/>
      <c r="AS26" s="10">
        <v>28</v>
      </c>
    </row>
    <row r="27" spans="1:45" ht="14.65" customHeight="1">
      <c r="Q27" s="27"/>
      <c r="R27" s="27"/>
      <c r="S27" s="1236" t="str">
        <f>IF(org=0,"Не определено",org)</f>
        <v>Общество с ограниченной ответственностью "Березовский рудник"</v>
      </c>
      <c r="T27" s="1236"/>
      <c r="U27" s="1236"/>
      <c r="V27" s="1236"/>
      <c r="W27" s="1236"/>
      <c r="X27" s="1236"/>
      <c r="Y27" s="1236"/>
      <c r="Z27" s="1236"/>
      <c r="AA27" s="1236"/>
      <c r="AB27" s="1236"/>
      <c r="AC27" s="1236"/>
      <c r="AD27" s="1236"/>
      <c r="AE27" s="1236"/>
      <c r="AF27" s="1236"/>
      <c r="AG27" s="1236"/>
      <c r="AH27" s="1236"/>
      <c r="AI27" s="1236"/>
      <c r="AJ27" s="1236"/>
      <c r="AK27" s="57"/>
      <c r="AS27" s="10">
        <v>14</v>
      </c>
    </row>
    <row r="28" spans="1:45" ht="14.25" hidden="1" customHeight="1">
      <c r="Q28" s="27"/>
      <c r="R28" s="27"/>
      <c r="S28" s="736"/>
      <c r="T28" s="9"/>
      <c r="U28" s="9"/>
      <c r="V28" s="186"/>
      <c r="W28" s="186"/>
      <c r="X28" s="186"/>
      <c r="Y28" s="186"/>
      <c r="Z28" s="186"/>
      <c r="AA28" s="186"/>
      <c r="AB28" s="186"/>
      <c r="AC28" s="186"/>
      <c r="AD28" s="186"/>
      <c r="AE28" s="186"/>
      <c r="AF28" s="186"/>
      <c r="AG28" s="186"/>
      <c r="AH28" s="186"/>
      <c r="AI28" s="186"/>
      <c r="AJ28" s="186"/>
      <c r="AK28" s="186"/>
      <c r="AS28" s="10">
        <v>0</v>
      </c>
    </row>
    <row r="29" spans="1:45" s="34" customFormat="1" ht="25.5" hidden="1" customHeight="1">
      <c r="A29" s="79"/>
      <c r="B29" s="79"/>
      <c r="C29" s="79"/>
      <c r="D29" s="79"/>
      <c r="E29" s="79"/>
      <c r="F29" s="79"/>
      <c r="G29" s="79"/>
      <c r="H29" s="79"/>
      <c r="I29" s="79"/>
      <c r="J29" s="79"/>
      <c r="K29" s="79"/>
      <c r="L29" s="767"/>
      <c r="M29" s="79"/>
      <c r="N29" s="79"/>
      <c r="O29" s="79"/>
      <c r="S29" s="1274" t="s">
        <v>41</v>
      </c>
      <c r="T29" s="1274"/>
      <c r="U29" s="770"/>
      <c r="V29" s="1276" t="str">
        <f>IF(TITLE_NAME_OR_PR_CHANGE="",IF(TITLE_NAME_OR_PR="","",TITLE_NAME_OR_PR),TITLE_NAME_OR_PR_CHANGE)</f>
        <v/>
      </c>
      <c r="W29" s="1276"/>
      <c r="X29" s="1276"/>
      <c r="Y29" s="1276"/>
      <c r="Z29" s="1276"/>
      <c r="AA29" s="1276"/>
      <c r="AB29" s="1276"/>
      <c r="AC29" s="10"/>
      <c r="AD29" s="1276" t="str">
        <f>IF(TITLE_NAME_OR_PR_CHANGE="",IF(TITLE_NAME_OR_PR="","",TITLE_NAME_OR_PR),TITLE_NAME_OR_PR_CHANGE)</f>
        <v/>
      </c>
      <c r="AE29" s="1276"/>
      <c r="AF29" s="1276"/>
      <c r="AG29" s="1276"/>
      <c r="AH29" s="1276"/>
      <c r="AI29" s="1276"/>
      <c r="AJ29" s="1276"/>
      <c r="AK29" s="10"/>
      <c r="AL29" s="10"/>
      <c r="AM29" s="160"/>
      <c r="AN29" s="66"/>
      <c r="AO29" s="66"/>
      <c r="AP29" s="66"/>
      <c r="AQ29" s="66"/>
      <c r="AR29" s="66"/>
      <c r="AS29" s="34">
        <v>0</v>
      </c>
    </row>
    <row r="30" spans="1:45" s="34" customFormat="1" ht="18.75" hidden="1" customHeight="1">
      <c r="A30" s="79"/>
      <c r="B30" s="79"/>
      <c r="C30" s="79"/>
      <c r="D30" s="79"/>
      <c r="E30" s="79"/>
      <c r="F30" s="79"/>
      <c r="G30" s="79"/>
      <c r="H30" s="79"/>
      <c r="I30" s="79"/>
      <c r="J30" s="79"/>
      <c r="K30" s="79"/>
      <c r="L30" s="767"/>
      <c r="M30" s="79"/>
      <c r="N30" s="79"/>
      <c r="O30" s="79"/>
      <c r="S30" s="1274" t="s">
        <v>421</v>
      </c>
      <c r="T30" s="1274"/>
      <c r="U30" s="770"/>
      <c r="V30" s="1275">
        <f>IF(TITLE_DATE_PR_CHANGE="",IF(TITLE_DATE_PR="","",TITLE_DATE_PR),TITLE_DATE_PR_CHANGE)</f>
        <v>45805</v>
      </c>
      <c r="W30" s="1275"/>
      <c r="X30" s="1275"/>
      <c r="Y30" s="1275"/>
      <c r="Z30" s="1275"/>
      <c r="AA30" s="1275"/>
      <c r="AB30" s="1275"/>
      <c r="AC30" s="10"/>
      <c r="AD30" s="1275">
        <f>IF(TITLE_DATE_PR_CHANGE="",IF(TITLE_DATE_PR="","",TITLE_DATE_PR),TITLE_DATE_PR_CHANGE)</f>
        <v>45805</v>
      </c>
      <c r="AE30" s="1275"/>
      <c r="AF30" s="1275"/>
      <c r="AG30" s="1275"/>
      <c r="AH30" s="1275"/>
      <c r="AI30" s="1275"/>
      <c r="AJ30" s="1275"/>
      <c r="AK30" s="10"/>
      <c r="AL30" s="10"/>
      <c r="AM30" s="160"/>
      <c r="AN30" s="66"/>
      <c r="AO30" s="66"/>
      <c r="AP30" s="66"/>
      <c r="AQ30" s="66"/>
      <c r="AR30" s="66"/>
      <c r="AS30" s="34">
        <v>0</v>
      </c>
    </row>
    <row r="31" spans="1:45" s="34" customFormat="1" ht="18.75" hidden="1" customHeight="1">
      <c r="A31" s="79"/>
      <c r="B31" s="79"/>
      <c r="C31" s="79"/>
      <c r="D31" s="79"/>
      <c r="E31" s="79"/>
      <c r="F31" s="79"/>
      <c r="G31" s="79"/>
      <c r="H31" s="79"/>
      <c r="I31" s="79"/>
      <c r="J31" s="79"/>
      <c r="K31" s="79"/>
      <c r="L31" s="767"/>
      <c r="M31" s="79"/>
      <c r="N31" s="79"/>
      <c r="O31" s="79"/>
      <c r="S31" s="1274" t="s">
        <v>422</v>
      </c>
      <c r="T31" s="1274"/>
      <c r="U31" s="770"/>
      <c r="V31" s="1276" t="str">
        <f>IF(TITLE_NUMBER_PR_CHANGE="",IF(TITLE_NUMBER_PR="","",TITLE_NUMBER_PR),TITLE_NUMBER_PR_CHANGE)</f>
        <v>2496</v>
      </c>
      <c r="W31" s="1276"/>
      <c r="X31" s="1276"/>
      <c r="Y31" s="1276"/>
      <c r="Z31" s="1276"/>
      <c r="AA31" s="1276"/>
      <c r="AB31" s="1276"/>
      <c r="AC31" s="10"/>
      <c r="AD31" s="1276" t="str">
        <f>IF(TITLE_NUMBER_PR_CHANGE="",IF(TITLE_NUMBER_PR="","",TITLE_NUMBER_PR),TITLE_NUMBER_PR_CHANGE)</f>
        <v>2496</v>
      </c>
      <c r="AE31" s="1276"/>
      <c r="AF31" s="1276"/>
      <c r="AG31" s="1276"/>
      <c r="AH31" s="1276"/>
      <c r="AI31" s="1276"/>
      <c r="AJ31" s="1276"/>
      <c r="AK31" s="10"/>
      <c r="AL31" s="10"/>
      <c r="AM31" s="160"/>
      <c r="AN31" s="66"/>
      <c r="AO31" s="66"/>
      <c r="AP31" s="66"/>
      <c r="AQ31" s="66"/>
      <c r="AR31" s="66"/>
      <c r="AS31" s="34">
        <v>0</v>
      </c>
    </row>
    <row r="32" spans="1:45" s="34" customFormat="1" ht="18.75" hidden="1" customHeight="1">
      <c r="A32" s="79"/>
      <c r="B32" s="79"/>
      <c r="C32" s="79"/>
      <c r="D32" s="79"/>
      <c r="E32" s="79"/>
      <c r="F32" s="79"/>
      <c r="G32" s="79"/>
      <c r="H32" s="79"/>
      <c r="I32" s="79"/>
      <c r="J32" s="79"/>
      <c r="K32" s="79"/>
      <c r="L32" s="767"/>
      <c r="M32" s="79"/>
      <c r="N32" s="79"/>
      <c r="O32" s="79"/>
      <c r="S32" s="1274" t="s">
        <v>42</v>
      </c>
      <c r="T32" s="1274"/>
      <c r="U32" s="770"/>
      <c r="V32" s="1276" t="str">
        <f>IF(TITLE_IST_PUB_CHANGE="",IF(TITLE_IST_PUB="","",TITLE_IST_PUB),TITLE_IST_PUB_CHANGE)</f>
        <v/>
      </c>
      <c r="W32" s="1276"/>
      <c r="X32" s="1276"/>
      <c r="Y32" s="1276"/>
      <c r="Z32" s="1276"/>
      <c r="AA32" s="1276"/>
      <c r="AB32" s="1276"/>
      <c r="AC32" s="10"/>
      <c r="AD32" s="1276" t="str">
        <f>IF(TITLE_IST_PUB_CHANGE="",IF(TITLE_IST_PUB="","",TITLE_IST_PUB),TITLE_IST_PUB_CHANGE)</f>
        <v/>
      </c>
      <c r="AE32" s="1276"/>
      <c r="AF32" s="1276"/>
      <c r="AG32" s="1276"/>
      <c r="AH32" s="1276"/>
      <c r="AI32" s="1276"/>
      <c r="AJ32" s="1276"/>
      <c r="AK32" s="10"/>
      <c r="AL32" s="10"/>
      <c r="AM32" s="160"/>
      <c r="AN32" s="66"/>
      <c r="AO32" s="66"/>
      <c r="AP32" s="66"/>
      <c r="AQ32" s="66"/>
      <c r="AR32" s="66"/>
      <c r="AS32" s="34">
        <v>0</v>
      </c>
    </row>
    <row r="33" spans="1:45" ht="14.25" customHeight="1">
      <c r="Q33" s="27"/>
      <c r="R33" s="27"/>
      <c r="S33" s="736"/>
      <c r="T33" s="9"/>
      <c r="U33" s="9"/>
      <c r="V33" s="186"/>
      <c r="W33" s="186"/>
      <c r="X33" s="186"/>
      <c r="Y33" s="186"/>
      <c r="Z33" s="186"/>
      <c r="AA33" s="186"/>
      <c r="AB33" s="186"/>
      <c r="AC33" s="186"/>
      <c r="AD33" s="186"/>
      <c r="AE33" s="186"/>
      <c r="AF33" s="186"/>
      <c r="AG33" s="186"/>
      <c r="AH33" s="186"/>
      <c r="AI33" s="186"/>
      <c r="AJ33" s="186"/>
      <c r="AK33" s="186"/>
      <c r="AS33" s="10">
        <v>0</v>
      </c>
    </row>
    <row r="34" spans="1:45" s="34" customFormat="1" ht="18.75" customHeight="1">
      <c r="A34" s="79"/>
      <c r="B34" s="79"/>
      <c r="C34" s="79"/>
      <c r="D34" s="79"/>
      <c r="E34" s="79"/>
      <c r="F34" s="79"/>
      <c r="G34" s="79"/>
      <c r="H34" s="79"/>
      <c r="I34" s="79"/>
      <c r="J34" s="79"/>
      <c r="K34" s="79"/>
      <c r="L34" s="767"/>
      <c r="M34" s="79"/>
      <c r="N34" s="79"/>
      <c r="O34" s="79"/>
      <c r="S34" s="1274" t="s">
        <v>423</v>
      </c>
      <c r="T34" s="1274"/>
      <c r="U34" s="770"/>
      <c r="V34" s="1275">
        <f>IF(TITLE_DATE_PR_CHANGE="",IF(TITLE_DATE_PR="","",TITLE_DATE_PR),TITLE_DATE_PR_CHANGE)</f>
        <v>45805</v>
      </c>
      <c r="W34" s="1275"/>
      <c r="X34" s="1275"/>
      <c r="Y34" s="1275"/>
      <c r="Z34" s="1275"/>
      <c r="AA34" s="1275"/>
      <c r="AB34" s="1275"/>
      <c r="AC34" s="10"/>
      <c r="AD34" s="1275">
        <f>IF(TITLE_DATE_PR_CHANGE="",IF(TITLE_DATE_PR="","",TITLE_DATE_PR),TITLE_DATE_PR_CHANGE)</f>
        <v>45805</v>
      </c>
      <c r="AE34" s="1275"/>
      <c r="AF34" s="1275"/>
      <c r="AG34" s="1275"/>
      <c r="AH34" s="1275"/>
      <c r="AI34" s="1275"/>
      <c r="AJ34" s="1275"/>
      <c r="AK34" s="10"/>
      <c r="AL34" s="10"/>
      <c r="AM34" s="160"/>
      <c r="AN34" s="66"/>
      <c r="AO34" s="66"/>
      <c r="AP34" s="66"/>
      <c r="AQ34" s="66"/>
      <c r="AR34" s="66"/>
      <c r="AS34" s="34">
        <v>0</v>
      </c>
    </row>
    <row r="35" spans="1:45" s="34" customFormat="1" ht="18.75" customHeight="1">
      <c r="A35" s="79"/>
      <c r="B35" s="79"/>
      <c r="C35" s="79"/>
      <c r="D35" s="79"/>
      <c r="E35" s="79"/>
      <c r="F35" s="79"/>
      <c r="G35" s="79"/>
      <c r="H35" s="79"/>
      <c r="I35" s="79"/>
      <c r="J35" s="79"/>
      <c r="K35" s="79"/>
      <c r="L35" s="767"/>
      <c r="M35" s="79"/>
      <c r="N35" s="79"/>
      <c r="O35" s="79"/>
      <c r="S35" s="1274" t="s">
        <v>424</v>
      </c>
      <c r="T35" s="1274"/>
      <c r="U35" s="770"/>
      <c r="V35" s="1276" t="str">
        <f>IF(TITLE_NUMBER_PR_CHANGE="",IF(TITLE_NUMBER_PR="","",TITLE_NUMBER_PR),TITLE_NUMBER_PR_CHANGE)</f>
        <v>2496</v>
      </c>
      <c r="W35" s="1276"/>
      <c r="X35" s="1276"/>
      <c r="Y35" s="1276"/>
      <c r="Z35" s="1276"/>
      <c r="AA35" s="1276"/>
      <c r="AB35" s="1276"/>
      <c r="AC35" s="10"/>
      <c r="AD35" s="1276" t="str">
        <f>IF(TITLE_NUMBER_PR_CHANGE="",IF(TITLE_NUMBER_PR="","",TITLE_NUMBER_PR),TITLE_NUMBER_PR_CHANGE)</f>
        <v>2496</v>
      </c>
      <c r="AE35" s="1276"/>
      <c r="AF35" s="1276"/>
      <c r="AG35" s="1276"/>
      <c r="AH35" s="1276"/>
      <c r="AI35" s="1276"/>
      <c r="AJ35" s="1276"/>
      <c r="AK35" s="10"/>
      <c r="AL35" s="10"/>
      <c r="AM35" s="160"/>
      <c r="AN35" s="66"/>
      <c r="AO35" s="66"/>
      <c r="AP35" s="66"/>
      <c r="AQ35" s="66"/>
      <c r="AR35" s="66"/>
      <c r="AS35" s="34">
        <v>0</v>
      </c>
    </row>
    <row r="36" spans="1:45" s="34" customFormat="1" ht="0" hidden="1" customHeight="1">
      <c r="A36" s="79"/>
      <c r="B36" s="79"/>
      <c r="C36" s="79"/>
      <c r="D36" s="79"/>
      <c r="E36" s="79"/>
      <c r="F36" s="79"/>
      <c r="G36" s="79"/>
      <c r="H36" s="79"/>
      <c r="I36" s="79"/>
      <c r="J36" s="79"/>
      <c r="K36" s="79"/>
      <c r="L36" s="767"/>
      <c r="M36" s="79"/>
      <c r="N36" s="79"/>
      <c r="O36" s="79"/>
      <c r="S36" s="10"/>
      <c r="T36" s="10"/>
      <c r="U36" s="75"/>
      <c r="V36" s="10"/>
      <c r="W36" s="10"/>
      <c r="X36" s="10"/>
      <c r="Y36" s="10"/>
      <c r="Z36" s="10"/>
      <c r="AA36" s="10"/>
      <c r="AB36" s="10"/>
      <c r="AC36" s="65" t="s">
        <v>425</v>
      </c>
      <c r="AD36" s="10"/>
      <c r="AE36" s="10"/>
      <c r="AF36" s="10"/>
      <c r="AG36" s="10"/>
      <c r="AH36" s="10"/>
      <c r="AI36" s="10"/>
      <c r="AJ36" s="10"/>
      <c r="AK36" s="65" t="s">
        <v>425</v>
      </c>
      <c r="AN36" s="66"/>
      <c r="AO36" s="66"/>
      <c r="AP36" s="66"/>
      <c r="AQ36" s="66"/>
      <c r="AR36" s="66"/>
      <c r="AS36" s="34">
        <v>0</v>
      </c>
    </row>
    <row r="37" spans="1:45" ht="14.65" customHeight="1">
      <c r="Q37" s="27"/>
      <c r="R37" s="27"/>
      <c r="S37" s="736"/>
      <c r="T37" s="9"/>
      <c r="U37" s="717"/>
      <c r="V37" s="1295"/>
      <c r="W37" s="1295"/>
      <c r="X37" s="1295"/>
      <c r="Y37" s="1295"/>
      <c r="Z37" s="1295"/>
      <c r="AA37" s="1295"/>
      <c r="AB37" s="1295"/>
      <c r="AC37" s="1295"/>
      <c r="AD37" s="1295"/>
      <c r="AE37" s="1295"/>
      <c r="AF37" s="1295"/>
      <c r="AG37" s="1295"/>
      <c r="AH37" s="1295"/>
      <c r="AI37" s="1295"/>
      <c r="AJ37" s="1295"/>
      <c r="AK37" s="1295"/>
      <c r="AS37" s="10">
        <v>14</v>
      </c>
    </row>
    <row r="38" spans="1:45" ht="14.65" customHeight="1">
      <c r="Q38" s="27"/>
      <c r="R38" s="27"/>
      <c r="S38" s="1146" t="s">
        <v>300</v>
      </c>
      <c r="T38" s="1146"/>
      <c r="U38" s="1146"/>
      <c r="V38" s="1146"/>
      <c r="W38" s="1146"/>
      <c r="X38" s="1146"/>
      <c r="Y38" s="1146"/>
      <c r="Z38" s="1146"/>
      <c r="AA38" s="1146"/>
      <c r="AB38" s="1146"/>
      <c r="AC38" s="1146"/>
      <c r="AD38" s="1146"/>
      <c r="AE38" s="1146"/>
      <c r="AF38" s="1146"/>
      <c r="AG38" s="1146"/>
      <c r="AH38" s="1146"/>
      <c r="AI38" s="1146"/>
      <c r="AJ38" s="1146"/>
      <c r="AK38" s="1146"/>
      <c r="AL38" s="1146"/>
      <c r="AM38" s="1146" t="s">
        <v>301</v>
      </c>
      <c r="AS38" s="10">
        <v>14</v>
      </c>
    </row>
    <row r="39" spans="1:45" ht="14.65" customHeight="1">
      <c r="Q39" s="27"/>
      <c r="R39" s="27"/>
      <c r="S39" s="1296" t="s">
        <v>86</v>
      </c>
      <c r="T39" s="1244" t="s">
        <v>426</v>
      </c>
      <c r="U39" s="169"/>
      <c r="V39" s="1297" t="s">
        <v>427</v>
      </c>
      <c r="W39" s="1298"/>
      <c r="X39" s="1313"/>
      <c r="Y39" s="1313"/>
      <c r="Z39" s="1298"/>
      <c r="AA39" s="1298"/>
      <c r="AB39" s="1299"/>
      <c r="AC39" s="1300" t="s">
        <v>428</v>
      </c>
      <c r="AD39" s="1297" t="s">
        <v>427</v>
      </c>
      <c r="AE39" s="1298"/>
      <c r="AF39" s="1313"/>
      <c r="AG39" s="1313"/>
      <c r="AH39" s="1298"/>
      <c r="AI39" s="1298"/>
      <c r="AJ39" s="1299"/>
      <c r="AK39" s="1300" t="s">
        <v>429</v>
      </c>
      <c r="AL39" s="1303" t="s">
        <v>430</v>
      </c>
      <c r="AM39" s="1146"/>
      <c r="AS39" s="10">
        <v>14</v>
      </c>
    </row>
    <row r="40" spans="1:45" ht="24" customHeight="1">
      <c r="Q40" s="27"/>
      <c r="R40" s="27"/>
      <c r="S40" s="1296"/>
      <c r="T40" s="1244"/>
      <c r="U40" s="604"/>
      <c r="V40" s="1311" t="s">
        <v>431</v>
      </c>
      <c r="W40" s="1217" t="s">
        <v>432</v>
      </c>
      <c r="X40" s="314" t="s">
        <v>433</v>
      </c>
      <c r="Y40" s="314"/>
      <c r="Z40" s="1133" t="s">
        <v>434</v>
      </c>
      <c r="AA40" s="1133"/>
      <c r="AB40" s="1127"/>
      <c r="AC40" s="1301"/>
      <c r="AD40" s="1311" t="s">
        <v>431</v>
      </c>
      <c r="AE40" s="1217" t="s">
        <v>432</v>
      </c>
      <c r="AF40" s="314" t="s">
        <v>433</v>
      </c>
      <c r="AG40" s="314"/>
      <c r="AH40" s="1133" t="s">
        <v>434</v>
      </c>
      <c r="AI40" s="1133"/>
      <c r="AJ40" s="1127"/>
      <c r="AK40" s="1301"/>
      <c r="AL40" s="1304"/>
      <c r="AM40" s="1146"/>
      <c r="AS40" s="10">
        <v>23</v>
      </c>
    </row>
    <row r="41" spans="1:45" s="16" customFormat="1" ht="24" customHeight="1">
      <c r="A41" s="79"/>
      <c r="B41" s="79" t="s">
        <v>133</v>
      </c>
      <c r="C41" s="79" t="s">
        <v>134</v>
      </c>
      <c r="D41" s="79" t="s">
        <v>135</v>
      </c>
      <c r="E41" s="767" t="s">
        <v>435</v>
      </c>
      <c r="F41" s="767" t="s">
        <v>436</v>
      </c>
      <c r="G41" s="767" t="s">
        <v>437</v>
      </c>
      <c r="H41" s="767" t="s">
        <v>438</v>
      </c>
      <c r="I41" s="767" t="s">
        <v>439</v>
      </c>
      <c r="J41" s="767" t="s">
        <v>440</v>
      </c>
      <c r="K41" s="767" t="s">
        <v>441</v>
      </c>
      <c r="L41" s="767" t="s">
        <v>416</v>
      </c>
      <c r="M41" s="503"/>
      <c r="N41" s="503"/>
      <c r="O41" s="503"/>
      <c r="P41" s="32"/>
      <c r="Q41" s="27"/>
      <c r="R41" s="27"/>
      <c r="S41" s="1296"/>
      <c r="T41" s="1244"/>
      <c r="U41" s="170"/>
      <c r="V41" s="1312"/>
      <c r="W41" s="1222"/>
      <c r="X41" s="313" t="s">
        <v>442</v>
      </c>
      <c r="Y41" s="313" t="s">
        <v>443</v>
      </c>
      <c r="Z41" s="760" t="s">
        <v>444</v>
      </c>
      <c r="AA41" s="1249" t="s">
        <v>445</v>
      </c>
      <c r="AB41" s="1263"/>
      <c r="AC41" s="1302"/>
      <c r="AD41" s="1312"/>
      <c r="AE41" s="1222"/>
      <c r="AF41" s="313" t="s">
        <v>442</v>
      </c>
      <c r="AG41" s="313" t="s">
        <v>443</v>
      </c>
      <c r="AH41" s="760" t="s">
        <v>444</v>
      </c>
      <c r="AI41" s="1249" t="s">
        <v>445</v>
      </c>
      <c r="AJ41" s="1263"/>
      <c r="AK41" s="1302"/>
      <c r="AL41" s="1305"/>
      <c r="AM41" s="1146"/>
      <c r="AN41" s="65"/>
      <c r="AO41" s="66"/>
      <c r="AP41" s="66"/>
      <c r="AQ41" s="66"/>
      <c r="AR41" s="66"/>
      <c r="AS41" s="16">
        <v>23</v>
      </c>
    </row>
    <row r="42" spans="1:45" s="200" customFormat="1" ht="11.25" hidden="1" customHeight="1">
      <c r="A42" s="79"/>
      <c r="B42" s="79"/>
      <c r="C42" s="79"/>
      <c r="D42" s="79"/>
      <c r="E42" s="79"/>
      <c r="F42" s="79"/>
      <c r="G42" s="79"/>
      <c r="H42" s="79"/>
      <c r="I42" s="79"/>
      <c r="J42" s="79"/>
      <c r="K42" s="79"/>
      <c r="L42" s="767"/>
      <c r="M42" s="503"/>
      <c r="N42" s="503"/>
      <c r="O42" s="503"/>
      <c r="P42" s="719"/>
      <c r="Q42" s="720"/>
      <c r="R42" s="722">
        <v>1</v>
      </c>
      <c r="S42" s="738" t="s">
        <v>107</v>
      </c>
      <c r="T42" s="723" t="s">
        <v>108</v>
      </c>
      <c r="U42" s="718" t="str">
        <f ca="1">OFFSET(U42,0,-1)</f>
        <v>2</v>
      </c>
      <c r="V42" s="724">
        <f ca="1">OFFSET(V42,0,-1)+1</f>
        <v>3</v>
      </c>
      <c r="W42" s="724"/>
      <c r="X42" s="283">
        <f ca="1">OFFSET(X42,0,-1)+1</f>
        <v>1</v>
      </c>
      <c r="Y42" s="283">
        <f ca="1">OFFSET(Y42,0,-1)+1</f>
        <v>2</v>
      </c>
      <c r="Z42" s="724">
        <f ca="1">OFFSET(Z42,0,-1)+1</f>
        <v>3</v>
      </c>
      <c r="AA42" s="1294">
        <f ca="1">OFFSET(AA42,0,-1)+1</f>
        <v>4</v>
      </c>
      <c r="AB42" s="1294"/>
      <c r="AC42" s="724">
        <f ca="1">OFFSET(AC42,0,-2)+1</f>
        <v>5</v>
      </c>
      <c r="AD42" s="724">
        <f ca="1">OFFSET(AD42,0,-1)+1</f>
        <v>6</v>
      </c>
      <c r="AE42" s="724"/>
      <c r="AF42" s="283">
        <f ca="1">OFFSET(AF42,0,-1)+1</f>
        <v>1</v>
      </c>
      <c r="AG42" s="283">
        <f ca="1">OFFSET(AG42,0,-1)+1</f>
        <v>2</v>
      </c>
      <c r="AH42" s="724">
        <f ca="1">OFFSET(AH42,0,-1)+1</f>
        <v>3</v>
      </c>
      <c r="AI42" s="1294">
        <f ca="1">OFFSET(AI42,0,-1)+1</f>
        <v>4</v>
      </c>
      <c r="AJ42" s="1294"/>
      <c r="AK42" s="724">
        <f ca="1">OFFSET(AK42,0,-2)+1</f>
        <v>5</v>
      </c>
      <c r="AL42" s="718">
        <f ca="1">OFFSET(AL42,0,-1)</f>
        <v>5</v>
      </c>
      <c r="AM42" s="724">
        <f ca="1">OFFSET(AM42,0,-1)+1</f>
        <v>6</v>
      </c>
      <c r="AN42" s="65"/>
      <c r="AO42" s="65"/>
      <c r="AP42" s="65"/>
      <c r="AQ42" s="65"/>
      <c r="AR42" s="65"/>
      <c r="AS42" s="200">
        <v>0</v>
      </c>
    </row>
    <row r="43" spans="1:45" ht="21.95" customHeight="1">
      <c r="A43" s="766" t="s">
        <v>190</v>
      </c>
      <c r="B43" s="766"/>
      <c r="C43" s="766"/>
      <c r="D43" s="766"/>
      <c r="E43" s="1283">
        <v>1</v>
      </c>
      <c r="F43" s="766"/>
      <c r="G43" s="766"/>
      <c r="H43" s="766"/>
      <c r="I43" s="766"/>
      <c r="J43" s="766"/>
      <c r="K43" s="766"/>
      <c r="L43" s="767"/>
      <c r="M43" s="423"/>
      <c r="N43" s="423"/>
      <c r="O43" s="423"/>
      <c r="Q43" s="33"/>
      <c r="R43" s="204"/>
      <c r="S43" s="706">
        <f>INDEX(PT_DIFFERENTIATION_NUM_NTAR,MATCH(A43,PT_DIFFERENTIATION_NTAR_ID,0))</f>
        <v>0</v>
      </c>
      <c r="T43" s="64" t="s">
        <v>121</v>
      </c>
      <c r="U43" s="168"/>
      <c r="V43" s="1277"/>
      <c r="W43" s="1278"/>
      <c r="X43" s="1278"/>
      <c r="Y43" s="1278"/>
      <c r="Z43" s="1278"/>
      <c r="AA43" s="1278"/>
      <c r="AB43" s="1278"/>
      <c r="AC43" s="1279"/>
      <c r="AD43" s="1277" t="str">
        <f>INDEX(PT_DIFFERENTIATION_NTAR,MATCH(A43,PT_DIFFERENTIATION_NTAR_ID,0))</f>
        <v/>
      </c>
      <c r="AE43" s="1278"/>
      <c r="AF43" s="1278"/>
      <c r="AG43" s="1278"/>
      <c r="AH43" s="1278"/>
      <c r="AI43" s="1278"/>
      <c r="AJ43" s="1278"/>
      <c r="AK43" s="1278"/>
      <c r="AL43" s="1279"/>
      <c r="AM43" s="72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66" t="s">
        <v>190</v>
      </c>
      <c r="B44" s="766" t="s">
        <v>191</v>
      </c>
      <c r="C44" s="766"/>
      <c r="D44" s="766"/>
      <c r="E44" s="1284"/>
      <c r="F44" s="1283">
        <v>1</v>
      </c>
      <c r="G44" s="766"/>
      <c r="H44" s="766"/>
      <c r="I44" s="766"/>
      <c r="J44" s="766"/>
      <c r="K44" s="766"/>
      <c r="L44" s="767"/>
      <c r="M44" s="423"/>
      <c r="N44" s="423"/>
      <c r="O44" s="423"/>
      <c r="P44" s="56"/>
      <c r="Q44" s="201"/>
      <c r="R44" s="202"/>
      <c r="S44" s="706" t="str">
        <f>INDEX(PT_DIFFERENTIATION_NUM_TER,MATCH(B44,PT_DIFFERENTIATION_TER_ID,0))</f>
        <v>.</v>
      </c>
      <c r="T44" s="174" t="s">
        <v>397</v>
      </c>
      <c r="U44" s="168"/>
      <c r="V44" s="1277"/>
      <c r="W44" s="1278"/>
      <c r="X44" s="1278"/>
      <c r="Y44" s="1278"/>
      <c r="Z44" s="1278"/>
      <c r="AA44" s="1278"/>
      <c r="AB44" s="1278"/>
      <c r="AC44" s="1279"/>
      <c r="AD44" s="1277" t="str">
        <f>INDEX(PT_DIFFERENTIATION_TER,MATCH(B44,PT_DIFFERENTIATION_TER_ID,0))</f>
        <v/>
      </c>
      <c r="AE44" s="1278"/>
      <c r="AF44" s="1278"/>
      <c r="AG44" s="1278"/>
      <c r="AH44" s="1278"/>
      <c r="AI44" s="1278"/>
      <c r="AJ44" s="1278"/>
      <c r="AK44" s="1278"/>
      <c r="AL44" s="1279"/>
      <c r="AM44" s="726" t="s">
        <v>398</v>
      </c>
      <c r="AO44" s="66"/>
      <c r="AP44" s="66" t="str">
        <f t="shared" si="1"/>
        <v>Территория действия тарифа</v>
      </c>
      <c r="AQ44" s="66"/>
      <c r="AR44" s="66"/>
      <c r="AS44" s="10">
        <v>21</v>
      </c>
    </row>
    <row r="45" spans="1:45" ht="24" customHeight="1">
      <c r="A45" s="766" t="s">
        <v>190</v>
      </c>
      <c r="B45" s="766" t="s">
        <v>191</v>
      </c>
      <c r="C45" s="766" t="s">
        <v>192</v>
      </c>
      <c r="D45" s="766"/>
      <c r="E45" s="1284"/>
      <c r="F45" s="1284"/>
      <c r="G45" s="1283">
        <v>1</v>
      </c>
      <c r="H45" s="766"/>
      <c r="I45" s="766"/>
      <c r="J45" s="766"/>
      <c r="K45" s="766"/>
      <c r="L45" s="767"/>
      <c r="M45" s="423"/>
      <c r="N45" s="423"/>
      <c r="O45" s="423"/>
      <c r="P45" s="203"/>
      <c r="Q45" s="201"/>
      <c r="R45" s="202"/>
      <c r="S45" s="706" t="str">
        <f>INDEX(PT_DIFFERENTIATION_NUM_CS,MATCH(C45,PT_DIFFERENTIATION_CS_ID,0))</f>
        <v>..</v>
      </c>
      <c r="T45" s="175" t="s">
        <v>399</v>
      </c>
      <c r="U45" s="168"/>
      <c r="V45" s="1277"/>
      <c r="W45" s="1278"/>
      <c r="X45" s="1278"/>
      <c r="Y45" s="1278"/>
      <c r="Z45" s="1278"/>
      <c r="AA45" s="1278"/>
      <c r="AB45" s="1278"/>
      <c r="AC45" s="1279"/>
      <c r="AD45" s="1277" t="str">
        <f>INDEX(PT_DIFFERENTIATION_CS,MATCH(C45,PT_DIFFERENTIATION_CS_ID,0))</f>
        <v/>
      </c>
      <c r="AE45" s="1278"/>
      <c r="AF45" s="1278"/>
      <c r="AG45" s="1278"/>
      <c r="AH45" s="1278"/>
      <c r="AI45" s="1278"/>
      <c r="AJ45" s="1278"/>
      <c r="AK45" s="1278"/>
      <c r="AL45" s="1279"/>
      <c r="AM45" s="726" t="s">
        <v>400</v>
      </c>
      <c r="AO45" s="66"/>
      <c r="AP45" s="66" t="str">
        <f t="shared" si="1"/>
        <v xml:space="preserve">Наименование системы теплоснабжения </v>
      </c>
      <c r="AQ45" s="66"/>
      <c r="AR45" s="66"/>
      <c r="AS45" s="10">
        <v>23</v>
      </c>
    </row>
    <row r="46" spans="1:45" ht="21.95" customHeight="1">
      <c r="A46" s="766" t="s">
        <v>190</v>
      </c>
      <c r="B46" s="766" t="s">
        <v>191</v>
      </c>
      <c r="C46" s="766" t="s">
        <v>192</v>
      </c>
      <c r="D46" s="766" t="s">
        <v>193</v>
      </c>
      <c r="E46" s="1284"/>
      <c r="F46" s="1284"/>
      <c r="G46" s="1284"/>
      <c r="H46" s="1283">
        <v>1</v>
      </c>
      <c r="I46" s="766"/>
      <c r="J46" s="766"/>
      <c r="K46" s="766"/>
      <c r="L46" s="767"/>
      <c r="M46" s="423"/>
      <c r="N46" s="423"/>
      <c r="O46" s="423"/>
      <c r="P46" s="203"/>
      <c r="Q46" s="201"/>
      <c r="R46" s="202"/>
      <c r="S46" s="706" t="str">
        <f>INDEX(PT_DIFFERENTIATION_NUM_IST_TE,MATCH(D46,PT_DIFFERENTIATION_IST_TE_ID,0))</f>
        <v>...</v>
      </c>
      <c r="T46" s="176" t="s">
        <v>401</v>
      </c>
      <c r="U46" s="168"/>
      <c r="V46" s="1277"/>
      <c r="W46" s="1278"/>
      <c r="X46" s="1278"/>
      <c r="Y46" s="1278"/>
      <c r="Z46" s="1278"/>
      <c r="AA46" s="1278"/>
      <c r="AB46" s="1278"/>
      <c r="AC46" s="1279"/>
      <c r="AD46" s="1277" t="str">
        <f>INDEX(PT_DIFFERENTIATION_IST_TE,MATCH(D46,PT_DIFFERENTIATION_IST_TE_ID,0))</f>
        <v/>
      </c>
      <c r="AE46" s="1278"/>
      <c r="AF46" s="1278"/>
      <c r="AG46" s="1278"/>
      <c r="AH46" s="1278"/>
      <c r="AI46" s="1278"/>
      <c r="AJ46" s="1278"/>
      <c r="AK46" s="1278"/>
      <c r="AL46" s="1279"/>
      <c r="AM46" s="726" t="s">
        <v>402</v>
      </c>
      <c r="AO46" s="66"/>
      <c r="AP46" s="66" t="str">
        <f t="shared" si="1"/>
        <v xml:space="preserve">Источник тепловой энергии  </v>
      </c>
      <c r="AQ46" s="66"/>
      <c r="AR46" s="66"/>
      <c r="AS46" s="10">
        <v>21</v>
      </c>
    </row>
    <row r="47" spans="1:45" ht="49.5" customHeight="1">
      <c r="A47" s="766" t="s">
        <v>190</v>
      </c>
      <c r="B47" s="766" t="s">
        <v>191</v>
      </c>
      <c r="C47" s="766" t="s">
        <v>192</v>
      </c>
      <c r="D47" s="766" t="s">
        <v>193</v>
      </c>
      <c r="E47" s="1284"/>
      <c r="F47" s="1284"/>
      <c r="G47" s="1284"/>
      <c r="H47" s="1284"/>
      <c r="I47" s="1285" t="str">
        <f>S46&amp;".1"</f>
        <v>....1</v>
      </c>
      <c r="J47" s="766"/>
      <c r="K47" s="766"/>
      <c r="L47" s="767" t="s">
        <v>403</v>
      </c>
      <c r="P47" s="1287">
        <v>1</v>
      </c>
      <c r="Q47" s="119"/>
      <c r="R47" s="205"/>
      <c r="S47" s="706" t="str">
        <f>$I47</f>
        <v>....1</v>
      </c>
      <c r="T47" s="161" t="s">
        <v>404</v>
      </c>
      <c r="U47" s="168"/>
      <c r="V47" s="1271"/>
      <c r="W47" s="1272"/>
      <c r="X47" s="1272"/>
      <c r="Y47" s="1272"/>
      <c r="Z47" s="1272"/>
      <c r="AA47" s="1272"/>
      <c r="AB47" s="1272"/>
      <c r="AC47" s="1273"/>
      <c r="AD47" s="1271"/>
      <c r="AE47" s="1272"/>
      <c r="AF47" s="1272"/>
      <c r="AG47" s="1272"/>
      <c r="AH47" s="1272"/>
      <c r="AI47" s="1272"/>
      <c r="AJ47" s="1272"/>
      <c r="AK47" s="1272"/>
      <c r="AL47" s="1273"/>
      <c r="AM47" s="726" t="s">
        <v>405</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1.95" customHeight="1">
      <c r="A48" s="766" t="s">
        <v>190</v>
      </c>
      <c r="B48" s="766" t="s">
        <v>191</v>
      </c>
      <c r="C48" s="766" t="s">
        <v>192</v>
      </c>
      <c r="D48" s="766" t="s">
        <v>193</v>
      </c>
      <c r="E48" s="1284"/>
      <c r="F48" s="1284"/>
      <c r="G48" s="1284"/>
      <c r="H48" s="1284"/>
      <c r="I48" s="1286"/>
      <c r="J48" s="1285" t="str">
        <f>I47&amp;".1"</f>
        <v>....1.1</v>
      </c>
      <c r="K48" s="766"/>
      <c r="L48" s="767" t="s">
        <v>406</v>
      </c>
      <c r="P48" s="1287"/>
      <c r="Q48" s="1287">
        <v>1</v>
      </c>
      <c r="R48" s="206"/>
      <c r="S48" s="706" t="str">
        <f>$J48</f>
        <v>....1.1</v>
      </c>
      <c r="T48" s="162" t="s">
        <v>407</v>
      </c>
      <c r="U48" s="168"/>
      <c r="V48" s="1271"/>
      <c r="W48" s="1272"/>
      <c r="X48" s="1272"/>
      <c r="Y48" s="1272"/>
      <c r="Z48" s="1272"/>
      <c r="AA48" s="1272"/>
      <c r="AB48" s="1272"/>
      <c r="AC48" s="1273"/>
      <c r="AD48" s="1271"/>
      <c r="AE48" s="1272"/>
      <c r="AF48" s="1272"/>
      <c r="AG48" s="1272"/>
      <c r="AH48" s="1272"/>
      <c r="AI48" s="1272"/>
      <c r="AJ48" s="1272"/>
      <c r="AK48" s="1272"/>
      <c r="AL48" s="1273"/>
      <c r="AM48" s="726" t="s">
        <v>408</v>
      </c>
      <c r="AO48" s="66"/>
      <c r="AP48" s="66" t="str">
        <f t="shared" si="1"/>
        <v>Группа потребителей</v>
      </c>
      <c r="AQ48" s="66"/>
      <c r="AR48" s="66"/>
      <c r="AS48" s="10">
        <v>21</v>
      </c>
    </row>
    <row r="49" spans="1:45" ht="21.95" customHeight="1">
      <c r="A49" s="766" t="s">
        <v>190</v>
      </c>
      <c r="B49" s="766" t="s">
        <v>191</v>
      </c>
      <c r="C49" s="766" t="s">
        <v>192</v>
      </c>
      <c r="D49" s="766" t="s">
        <v>193</v>
      </c>
      <c r="E49" s="1284"/>
      <c r="F49" s="1284"/>
      <c r="G49" s="1284"/>
      <c r="H49" s="1284"/>
      <c r="I49" s="1286"/>
      <c r="J49" s="1286"/>
      <c r="K49" s="1285" t="str">
        <f>J48&amp;".1"</f>
        <v>....1.1.1</v>
      </c>
      <c r="L49" s="767" t="s">
        <v>409</v>
      </c>
      <c r="P49" s="1287"/>
      <c r="Q49" s="1287"/>
      <c r="R49" s="206">
        <v>1</v>
      </c>
      <c r="S49" s="706" t="str">
        <f>$K49</f>
        <v>....1.1.1</v>
      </c>
      <c r="T49" s="762"/>
      <c r="U49" s="168"/>
      <c r="V49" s="188"/>
      <c r="W49" s="303"/>
      <c r="X49" s="188"/>
      <c r="Y49" s="216"/>
      <c r="Z49" s="1288"/>
      <c r="AA49" s="1156" t="s">
        <v>64</v>
      </c>
      <c r="AB49" s="1288"/>
      <c r="AC49" s="1156" t="s">
        <v>64</v>
      </c>
      <c r="AD49" s="188"/>
      <c r="AE49" s="303"/>
      <c r="AF49" s="188"/>
      <c r="AG49" s="216"/>
      <c r="AH49" s="1288"/>
      <c r="AI49" s="1156" t="s">
        <v>64</v>
      </c>
      <c r="AJ49" s="1290"/>
      <c r="AK49" s="1156" t="s">
        <v>64</v>
      </c>
      <c r="AL49" s="763"/>
      <c r="AM49" s="1306" t="s">
        <v>410</v>
      </c>
      <c r="AN49" s="65" t="e">
        <f ca="1">STRCHECKDATE(V50:AL50)</f>
        <v>#NAME?</v>
      </c>
      <c r="AO49" s="66"/>
      <c r="AP49" s="66" t="str">
        <f t="shared" si="1"/>
        <v/>
      </c>
      <c r="AQ49" s="66"/>
      <c r="AR49" s="66"/>
      <c r="AS49" s="10">
        <v>21</v>
      </c>
    </row>
    <row r="50" spans="1:45" ht="1.1499999999999999" customHeight="1">
      <c r="A50" s="766" t="s">
        <v>190</v>
      </c>
      <c r="B50" s="766" t="s">
        <v>191</v>
      </c>
      <c r="C50" s="766" t="s">
        <v>192</v>
      </c>
      <c r="D50" s="766" t="s">
        <v>193</v>
      </c>
      <c r="E50" s="1284"/>
      <c r="F50" s="1284"/>
      <c r="G50" s="1284"/>
      <c r="H50" s="1284"/>
      <c r="I50" s="1286"/>
      <c r="J50" s="1286"/>
      <c r="K50" s="1285"/>
      <c r="L50" s="767"/>
      <c r="P50" s="1287"/>
      <c r="Q50" s="1287"/>
      <c r="R50" s="206"/>
      <c r="S50" s="62"/>
      <c r="T50" s="168"/>
      <c r="U50" s="168"/>
      <c r="V50" s="188"/>
      <c r="W50" s="188"/>
      <c r="X50" s="188"/>
      <c r="Y50" s="189" t="str">
        <f>Z49&amp;"-"&amp;AB49</f>
        <v>-</v>
      </c>
      <c r="Z50" s="1289"/>
      <c r="AA50" s="1156"/>
      <c r="AB50" s="1289"/>
      <c r="AC50" s="1156"/>
      <c r="AD50" s="188"/>
      <c r="AE50" s="188"/>
      <c r="AF50" s="188"/>
      <c r="AG50" s="189" t="str">
        <f>AH49&amp;"-"&amp;AJ49</f>
        <v>-</v>
      </c>
      <c r="AH50" s="1289"/>
      <c r="AI50" s="1156"/>
      <c r="AJ50" s="1291"/>
      <c r="AK50" s="1156"/>
      <c r="AL50" s="764"/>
      <c r="AM50" s="1307"/>
      <c r="AO50" s="66"/>
      <c r="AP50" s="66" t="str">
        <f t="shared" si="1"/>
        <v/>
      </c>
      <c r="AQ50" s="66"/>
      <c r="AR50" s="66"/>
      <c r="AS50" s="10">
        <v>1</v>
      </c>
    </row>
    <row r="51" spans="1:45" ht="11.45" customHeight="1">
      <c r="A51" s="766" t="s">
        <v>190</v>
      </c>
      <c r="B51" s="766" t="s">
        <v>191</v>
      </c>
      <c r="C51" s="766" t="s">
        <v>192</v>
      </c>
      <c r="D51" s="766" t="s">
        <v>193</v>
      </c>
      <c r="E51" s="1284"/>
      <c r="F51" s="1284"/>
      <c r="G51" s="1284"/>
      <c r="H51" s="1284"/>
      <c r="I51" s="1286"/>
      <c r="J51" s="1285"/>
      <c r="K51" s="766"/>
      <c r="L51" s="767"/>
      <c r="P51" s="1287"/>
      <c r="Q51" s="1287"/>
      <c r="R51" s="205"/>
      <c r="S51" s="739"/>
      <c r="T51" s="164" t="s">
        <v>411</v>
      </c>
      <c r="U51" s="210"/>
      <c r="V51" s="210"/>
      <c r="W51" s="210"/>
      <c r="X51" s="210"/>
      <c r="Y51" s="210"/>
      <c r="Z51" s="210"/>
      <c r="AA51" s="210"/>
      <c r="AB51" s="210"/>
      <c r="AC51" s="210"/>
      <c r="AD51" s="210"/>
      <c r="AE51" s="210"/>
      <c r="AF51" s="210"/>
      <c r="AG51" s="210"/>
      <c r="AH51" s="210"/>
      <c r="AI51" s="210"/>
      <c r="AJ51" s="210"/>
      <c r="AK51" s="210"/>
      <c r="AL51" s="187"/>
      <c r="AM51" s="1308"/>
      <c r="AO51" s="66"/>
      <c r="AP51" s="66" t="str">
        <f t="shared" si="1"/>
        <v>Добавить вид теплоносителя (параметры теплоносителя)</v>
      </c>
      <c r="AQ51" s="66"/>
      <c r="AR51" s="66"/>
      <c r="AS51" s="10">
        <v>11</v>
      </c>
    </row>
    <row r="52" spans="1:45" ht="11.45" customHeight="1">
      <c r="A52" s="766" t="s">
        <v>190</v>
      </c>
      <c r="B52" s="766" t="s">
        <v>191</v>
      </c>
      <c r="C52" s="766" t="s">
        <v>192</v>
      </c>
      <c r="D52" s="766" t="s">
        <v>193</v>
      </c>
      <c r="E52" s="1284"/>
      <c r="F52" s="1284"/>
      <c r="G52" s="1284"/>
      <c r="H52" s="1284"/>
      <c r="I52" s="1285"/>
      <c r="J52" s="766"/>
      <c r="K52" s="766"/>
      <c r="L52" s="767"/>
      <c r="P52" s="1287"/>
      <c r="Q52" s="119"/>
      <c r="R52" s="205"/>
      <c r="S52" s="739"/>
      <c r="T52" s="163" t="s">
        <v>412</v>
      </c>
      <c r="U52" s="210"/>
      <c r="V52" s="210"/>
      <c r="W52" s="210"/>
      <c r="X52" s="210"/>
      <c r="Y52" s="210"/>
      <c r="Z52" s="210"/>
      <c r="AA52" s="210"/>
      <c r="AB52" s="210"/>
      <c r="AC52" s="209"/>
      <c r="AD52" s="210"/>
      <c r="AE52" s="210"/>
      <c r="AF52" s="210"/>
      <c r="AG52" s="210"/>
      <c r="AH52" s="210"/>
      <c r="AI52" s="210"/>
      <c r="AJ52" s="210"/>
      <c r="AK52" s="209"/>
      <c r="AL52" s="210"/>
      <c r="AM52" s="171"/>
      <c r="AO52" s="66"/>
      <c r="AP52" s="66" t="str">
        <f t="shared" si="1"/>
        <v>Добавить группу потребителей</v>
      </c>
      <c r="AQ52" s="66"/>
      <c r="AR52" s="66"/>
      <c r="AS52" s="10">
        <v>11</v>
      </c>
    </row>
    <row r="53" spans="1:45" ht="14.65" customHeight="1">
      <c r="A53" s="766" t="s">
        <v>190</v>
      </c>
      <c r="B53" s="766" t="s">
        <v>191</v>
      </c>
      <c r="C53" s="766" t="s">
        <v>192</v>
      </c>
      <c r="D53" s="766" t="s">
        <v>193</v>
      </c>
      <c r="E53" s="1284"/>
      <c r="F53" s="1284"/>
      <c r="G53" s="1284"/>
      <c r="H53" s="1283"/>
      <c r="I53" s="766"/>
      <c r="J53" s="766"/>
      <c r="K53" s="766"/>
      <c r="L53" s="767"/>
      <c r="M53" s="423"/>
      <c r="N53" s="423"/>
      <c r="O53" s="60"/>
      <c r="P53" s="33"/>
      <c r="Q53" s="213"/>
      <c r="R53" s="204"/>
      <c r="S53" s="739"/>
      <c r="T53" s="208" t="s">
        <v>413</v>
      </c>
      <c r="U53" s="210"/>
      <c r="V53" s="210"/>
      <c r="W53" s="210"/>
      <c r="X53" s="210"/>
      <c r="Y53" s="210"/>
      <c r="Z53" s="210"/>
      <c r="AA53" s="210"/>
      <c r="AB53" s="210"/>
      <c r="AC53" s="209"/>
      <c r="AD53" s="210"/>
      <c r="AE53" s="210"/>
      <c r="AF53" s="210"/>
      <c r="AG53" s="210"/>
      <c r="AH53" s="210"/>
      <c r="AI53" s="210"/>
      <c r="AJ53" s="210"/>
      <c r="AK53" s="209"/>
      <c r="AL53" s="210"/>
      <c r="AM53" s="171"/>
      <c r="AO53" s="66"/>
      <c r="AP53" s="66" t="str">
        <f t="shared" si="1"/>
        <v>Добавить схему подключения</v>
      </c>
      <c r="AQ53" s="66"/>
      <c r="AR53" s="66"/>
      <c r="AS53" s="10">
        <v>14</v>
      </c>
    </row>
    <row r="54" spans="1:45" s="65" customFormat="1" ht="1.1499999999999999" customHeight="1">
      <c r="A54" s="142" t="s">
        <v>190</v>
      </c>
      <c r="B54" s="142" t="s">
        <v>191</v>
      </c>
      <c r="C54" s="142" t="s">
        <v>192</v>
      </c>
      <c r="D54" s="142"/>
      <c r="E54" s="1284"/>
      <c r="F54" s="1284"/>
      <c r="G54" s="1283"/>
      <c r="H54" s="142"/>
      <c r="I54" s="142"/>
      <c r="J54" s="142"/>
      <c r="K54" s="142"/>
      <c r="L54" s="343"/>
      <c r="M54" s="290"/>
      <c r="N54" s="290"/>
      <c r="P54" s="101"/>
      <c r="Q54" s="752"/>
      <c r="R54" s="101"/>
      <c r="S54" s="757"/>
      <c r="T54" s="759" t="s">
        <v>414</v>
      </c>
      <c r="U54" s="310"/>
      <c r="V54" s="310"/>
      <c r="W54" s="310"/>
      <c r="X54" s="310"/>
      <c r="Y54" s="310"/>
      <c r="Z54" s="310"/>
      <c r="AA54" s="310"/>
      <c r="AB54" s="310"/>
      <c r="AC54" s="310"/>
      <c r="AD54" s="310"/>
      <c r="AE54" s="310"/>
      <c r="AF54" s="310"/>
      <c r="AG54" s="310"/>
      <c r="AH54" s="310"/>
      <c r="AI54" s="310"/>
      <c r="AJ54" s="310"/>
      <c r="AK54" s="310"/>
      <c r="AL54" s="310"/>
      <c r="AM54" s="310"/>
      <c r="AO54" s="66"/>
      <c r="AP54" s="66" t="str">
        <f t="shared" si="1"/>
        <v>Добавить источник для дифференциации</v>
      </c>
      <c r="AQ54" s="66"/>
      <c r="AR54" s="66"/>
      <c r="AS54" s="65">
        <v>1</v>
      </c>
    </row>
    <row r="55" spans="1:45" s="65" customFormat="1" ht="1.1499999999999999" customHeight="1">
      <c r="A55" s="142" t="s">
        <v>190</v>
      </c>
      <c r="B55" s="142" t="s">
        <v>191</v>
      </c>
      <c r="C55" s="142"/>
      <c r="D55" s="142"/>
      <c r="E55" s="1284"/>
      <c r="F55" s="1283"/>
      <c r="G55" s="142"/>
      <c r="H55" s="142"/>
      <c r="I55" s="142"/>
      <c r="J55" s="142"/>
      <c r="K55" s="142"/>
      <c r="L55" s="343"/>
      <c r="M55" s="756"/>
      <c r="N55" s="756"/>
      <c r="P55" s="101"/>
      <c r="Q55" s="752"/>
      <c r="R55" s="101"/>
      <c r="S55" s="757"/>
      <c r="T55" s="759" t="s">
        <v>231</v>
      </c>
      <c r="U55" s="310"/>
      <c r="V55" s="310"/>
      <c r="W55" s="310"/>
      <c r="X55" s="310"/>
      <c r="Y55" s="310"/>
      <c r="Z55" s="310"/>
      <c r="AA55" s="310"/>
      <c r="AB55" s="310"/>
      <c r="AC55" s="310"/>
      <c r="AD55" s="310"/>
      <c r="AE55" s="310"/>
      <c r="AF55" s="310"/>
      <c r="AG55" s="310"/>
      <c r="AH55" s="310"/>
      <c r="AI55" s="310"/>
      <c r="AJ55" s="310"/>
      <c r="AK55" s="310"/>
      <c r="AL55" s="310"/>
      <c r="AM55" s="310"/>
      <c r="AO55" s="66"/>
      <c r="AP55" s="66" t="str">
        <f t="shared" si="1"/>
        <v>Добавить централизованную систему для дифференциации</v>
      </c>
      <c r="AQ55" s="66"/>
      <c r="AR55" s="66"/>
      <c r="AS55" s="65">
        <v>1</v>
      </c>
    </row>
    <row r="56" spans="1:45" s="65" customFormat="1" ht="1.1499999999999999" customHeight="1">
      <c r="A56" s="142" t="s">
        <v>190</v>
      </c>
      <c r="B56" s="142"/>
      <c r="C56" s="142"/>
      <c r="D56" s="142"/>
      <c r="E56" s="1283"/>
      <c r="F56" s="142"/>
      <c r="G56" s="142"/>
      <c r="H56" s="142"/>
      <c r="I56" s="142"/>
      <c r="J56" s="142"/>
      <c r="K56" s="142"/>
      <c r="L56" s="343"/>
      <c r="M56" s="756"/>
      <c r="N56" s="756"/>
      <c r="P56" s="101"/>
      <c r="Q56" s="752"/>
      <c r="R56" s="101"/>
      <c r="S56" s="757"/>
      <c r="T56" s="759" t="s">
        <v>232</v>
      </c>
      <c r="U56" s="310"/>
      <c r="V56" s="310"/>
      <c r="W56" s="310"/>
      <c r="X56" s="310"/>
      <c r="Y56" s="310"/>
      <c r="Z56" s="310"/>
      <c r="AA56" s="310"/>
      <c r="AB56" s="310"/>
      <c r="AC56" s="310"/>
      <c r="AD56" s="310"/>
      <c r="AE56" s="310"/>
      <c r="AF56" s="310"/>
      <c r="AG56" s="310"/>
      <c r="AH56" s="310"/>
      <c r="AI56" s="310"/>
      <c r="AJ56" s="310"/>
      <c r="AK56" s="310"/>
      <c r="AL56" s="310"/>
      <c r="AM56" s="310"/>
      <c r="AO56" s="66"/>
      <c r="AP56" s="66" t="str">
        <f t="shared" si="1"/>
        <v>Добавить территорию для дифференциации</v>
      </c>
      <c r="AQ56" s="66"/>
      <c r="AR56" s="66"/>
      <c r="AS56" s="65">
        <v>1</v>
      </c>
    </row>
    <row r="57" spans="1:45" s="65" customFormat="1" ht="1.1499999999999999" customHeight="1">
      <c r="A57" s="142"/>
      <c r="B57" s="142"/>
      <c r="C57" s="142"/>
      <c r="D57" s="142"/>
      <c r="E57" s="142"/>
      <c r="F57" s="142"/>
      <c r="G57" s="142"/>
      <c r="H57" s="142"/>
      <c r="I57" s="142"/>
      <c r="J57" s="142"/>
      <c r="K57" s="142"/>
      <c r="L57" s="343"/>
      <c r="M57" s="756"/>
      <c r="N57" s="756"/>
      <c r="P57" s="101"/>
      <c r="Q57" s="752"/>
      <c r="R57" s="101"/>
      <c r="S57" s="757"/>
      <c r="T57" s="759" t="s">
        <v>233</v>
      </c>
      <c r="U57" s="310"/>
      <c r="V57" s="310"/>
      <c r="W57" s="310"/>
      <c r="X57" s="310"/>
      <c r="Y57" s="310"/>
      <c r="Z57" s="310"/>
      <c r="AA57" s="310"/>
      <c r="AB57" s="310"/>
      <c r="AC57" s="310"/>
      <c r="AD57" s="310"/>
      <c r="AE57" s="310"/>
      <c r="AF57" s="310"/>
      <c r="AG57" s="310"/>
      <c r="AH57" s="310"/>
      <c r="AI57" s="310"/>
      <c r="AJ57" s="310"/>
      <c r="AK57" s="310"/>
      <c r="AL57" s="310"/>
      <c r="AM57" s="310"/>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28.5" customHeight="1">
      <c r="O59" s="60"/>
      <c r="S59" s="195"/>
      <c r="T59" s="1282"/>
      <c r="U59" s="1282"/>
      <c r="V59" s="1282"/>
      <c r="W59" s="1282"/>
      <c r="X59" s="1282"/>
      <c r="Y59" s="1282"/>
      <c r="Z59" s="1282"/>
      <c r="AA59" s="1282"/>
      <c r="AB59" s="1282"/>
      <c r="AC59" s="1282"/>
      <c r="AD59" s="1282"/>
      <c r="AE59" s="1282"/>
      <c r="AF59" s="1282"/>
      <c r="AG59" s="1282"/>
      <c r="AH59" s="1282"/>
      <c r="AI59" s="1282"/>
      <c r="AJ59" s="1282"/>
      <c r="AK59" s="1282"/>
      <c r="AL59" s="1282"/>
      <c r="AM59" s="1282"/>
      <c r="AS59" s="10">
        <v>27</v>
      </c>
    </row>
    <row r="60" spans="1:45" ht="78.75" customHeight="1">
      <c r="O60" s="60"/>
      <c r="T60" s="1282"/>
      <c r="U60" s="1282"/>
      <c r="V60" s="1282"/>
      <c r="W60" s="1282"/>
      <c r="X60" s="1282"/>
      <c r="Y60" s="1282"/>
      <c r="Z60" s="1282"/>
      <c r="AA60" s="1282"/>
      <c r="AB60" s="1282"/>
      <c r="AC60" s="1282"/>
      <c r="AD60" s="1282"/>
      <c r="AE60" s="1282"/>
      <c r="AF60" s="1282"/>
      <c r="AG60" s="1282"/>
      <c r="AH60" s="1282"/>
      <c r="AI60" s="1282"/>
      <c r="AJ60" s="1282"/>
      <c r="AK60" s="1282"/>
      <c r="AL60" s="1282"/>
      <c r="AM60" s="1282"/>
      <c r="AS60" s="10">
        <v>75</v>
      </c>
    </row>
    <row r="61" spans="1:45" ht="14.65" customHeight="1">
      <c r="O61" s="60"/>
      <c r="AS61" s="10">
        <v>14</v>
      </c>
    </row>
    <row r="62" spans="1:45" ht="18.75" customHeight="1">
      <c r="O62" s="60"/>
      <c r="S62" s="195"/>
      <c r="T62" s="1282"/>
      <c r="U62" s="1282"/>
      <c r="V62" s="1282"/>
      <c r="W62" s="1282"/>
      <c r="X62" s="1282"/>
      <c r="Y62" s="1282"/>
      <c r="Z62" s="1282"/>
      <c r="AA62" s="1282"/>
      <c r="AB62" s="1282"/>
      <c r="AC62" s="1282"/>
      <c r="AD62" s="1282"/>
      <c r="AE62" s="1282"/>
      <c r="AF62" s="1282"/>
      <c r="AG62" s="1282"/>
      <c r="AH62" s="1282"/>
      <c r="AI62" s="1282"/>
      <c r="AJ62" s="1282"/>
      <c r="AK62" s="1282"/>
      <c r="AL62" s="1282"/>
      <c r="AM62" s="1282"/>
      <c r="AS62" s="10">
        <v>18</v>
      </c>
    </row>
    <row r="63" spans="1:45" ht="18.75" customHeight="1">
      <c r="O63" s="60"/>
      <c r="T63" s="1282"/>
      <c r="U63" s="1282"/>
      <c r="V63" s="1282"/>
      <c r="W63" s="1282"/>
      <c r="X63" s="1282"/>
      <c r="Y63" s="1282"/>
      <c r="Z63" s="1282"/>
      <c r="AA63" s="1282"/>
      <c r="AB63" s="1282"/>
      <c r="AC63" s="1282"/>
      <c r="AD63" s="1282"/>
      <c r="AE63" s="1282"/>
      <c r="AF63" s="1282"/>
      <c r="AG63" s="1282"/>
      <c r="AH63" s="1282"/>
      <c r="AI63" s="1282"/>
      <c r="AJ63" s="1282"/>
      <c r="AK63" s="1282"/>
      <c r="AL63" s="1282"/>
      <c r="AM63" s="1282"/>
      <c r="AS63" s="10">
        <v>18</v>
      </c>
    </row>
    <row r="64" spans="1:45" ht="39.75" customHeight="1">
      <c r="O64" s="60"/>
      <c r="S64" s="195"/>
      <c r="T64" s="1282"/>
      <c r="U64" s="1282"/>
      <c r="V64" s="1282"/>
      <c r="W64" s="1282"/>
      <c r="X64" s="1282"/>
      <c r="Y64" s="1282"/>
      <c r="Z64" s="1282"/>
      <c r="AA64" s="1282"/>
      <c r="AB64" s="1282"/>
      <c r="AC64" s="1282"/>
      <c r="AD64" s="1282"/>
      <c r="AE64" s="1282"/>
      <c r="AF64" s="1282"/>
      <c r="AG64" s="1282"/>
      <c r="AH64" s="1282"/>
      <c r="AI64" s="1282"/>
      <c r="AJ64" s="1282"/>
      <c r="AK64" s="1282"/>
      <c r="AL64" s="1282"/>
      <c r="AM64" s="1282"/>
      <c r="AS64" s="10">
        <v>38</v>
      </c>
    </row>
    <row r="65" spans="1:45" ht="22.5" hidden="1" customHeight="1">
      <c r="A65" s="60" t="s">
        <v>80</v>
      </c>
      <c r="B65" s="60">
        <v>0</v>
      </c>
      <c r="C65" s="60">
        <v>0</v>
      </c>
      <c r="D65" s="60">
        <v>0</v>
      </c>
      <c r="E65" s="60">
        <v>0</v>
      </c>
      <c r="F65" s="60">
        <v>0</v>
      </c>
      <c r="G65" s="60">
        <v>0</v>
      </c>
      <c r="H65" s="60">
        <v>0</v>
      </c>
      <c r="I65" s="60">
        <v>0</v>
      </c>
      <c r="J65" s="60">
        <v>0</v>
      </c>
      <c r="K65" s="60">
        <v>0</v>
      </c>
      <c r="L65" s="298">
        <v>0</v>
      </c>
      <c r="M65" s="503">
        <v>0</v>
      </c>
      <c r="N65" s="503">
        <v>0</v>
      </c>
      <c r="O65" s="503">
        <v>0</v>
      </c>
      <c r="P65" s="32">
        <v>3</v>
      </c>
      <c r="Q65" s="28">
        <v>3</v>
      </c>
      <c r="R65" s="28">
        <v>3</v>
      </c>
      <c r="S65" s="339">
        <v>12</v>
      </c>
      <c r="T65" s="10">
        <v>31</v>
      </c>
      <c r="U65" s="10">
        <v>0</v>
      </c>
      <c r="V65" s="10">
        <v>0</v>
      </c>
      <c r="W65" s="10">
        <v>0</v>
      </c>
      <c r="X65" s="10">
        <v>0</v>
      </c>
      <c r="Y65" s="10">
        <v>0</v>
      </c>
      <c r="Z65" s="10">
        <v>0</v>
      </c>
      <c r="AA65" s="10">
        <v>0</v>
      </c>
      <c r="AB65" s="10">
        <v>0</v>
      </c>
      <c r="AC65" s="10">
        <v>0</v>
      </c>
      <c r="AD65" s="10">
        <v>0</v>
      </c>
      <c r="AE65" s="10">
        <v>24</v>
      </c>
      <c r="AF65" s="10">
        <v>0</v>
      </c>
      <c r="AG65" s="10">
        <v>0</v>
      </c>
      <c r="AH65" s="10">
        <v>11</v>
      </c>
      <c r="AI65" s="10">
        <v>3</v>
      </c>
      <c r="AJ65" s="10">
        <v>11</v>
      </c>
      <c r="AK65" s="10">
        <v>0</v>
      </c>
      <c r="AL65" s="10">
        <v>4</v>
      </c>
      <c r="AM65" s="10">
        <v>115</v>
      </c>
      <c r="AN65" s="65">
        <v>10</v>
      </c>
      <c r="AO65" s="65">
        <v>10</v>
      </c>
      <c r="AP65" s="65">
        <v>10</v>
      </c>
      <c r="AQ65" s="65">
        <v>10</v>
      </c>
      <c r="AR65" s="65">
        <v>10</v>
      </c>
      <c r="AS65" s="1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8" hidden="1" customWidth="1"/>
    <col min="13" max="14" width="12.28515625" style="503" hidden="1" customWidth="1"/>
    <col min="15" max="15" width="23.42578125" style="503" hidden="1" customWidth="1"/>
    <col min="16" max="16" width="3.7109375" style="32" hidden="1" customWidth="1"/>
    <col min="17" max="18" width="3" style="28" customWidth="1"/>
    <col min="19" max="19" width="12" style="339"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8.42578125" style="10" hidden="1" customWidth="1"/>
  </cols>
  <sheetData>
    <row r="1" spans="1:45" ht="22.5" hidden="1" customHeight="1">
      <c r="AS1" s="10" t="s">
        <v>14</v>
      </c>
    </row>
    <row r="2" spans="1:45" ht="21" hidden="1" customHeight="1">
      <c r="A2" s="766"/>
      <c r="B2" s="766"/>
      <c r="C2" s="766"/>
      <c r="D2" s="766"/>
      <c r="E2" s="1283">
        <v>1</v>
      </c>
      <c r="F2" s="766"/>
      <c r="G2" s="766"/>
      <c r="H2" s="766"/>
      <c r="I2" s="766"/>
      <c r="J2" s="766"/>
      <c r="K2" s="766"/>
      <c r="L2" s="767"/>
      <c r="M2" s="423"/>
      <c r="N2" s="423"/>
      <c r="O2" s="423"/>
      <c r="Q2" s="33"/>
      <c r="R2" s="204"/>
      <c r="S2" s="706" t="e">
        <f>INDEX(PT_DIFFERENTIATION_NUM_NTAR,MATCH(A2,PT_DIFFERENTIATION_NTAR_ID,0))</f>
        <v>#N/A</v>
      </c>
      <c r="T2" s="64" t="s">
        <v>121</v>
      </c>
      <c r="U2" s="168"/>
      <c r="V2" s="1277"/>
      <c r="W2" s="1278"/>
      <c r="X2" s="1278"/>
      <c r="Y2" s="1278"/>
      <c r="Z2" s="1278"/>
      <c r="AA2" s="1278"/>
      <c r="AB2" s="1278"/>
      <c r="AC2" s="1279"/>
      <c r="AD2" s="1277" t="e">
        <f>INDEX(PT_DIFFERENTIATION_NTAR,MATCH(A2,PT_DIFFERENTIATION_NTAR_ID,0))</f>
        <v>#N/A</v>
      </c>
      <c r="AE2" s="1278"/>
      <c r="AF2" s="1278"/>
      <c r="AG2" s="1278"/>
      <c r="AH2" s="1278"/>
      <c r="AI2" s="1278"/>
      <c r="AJ2" s="1278"/>
      <c r="AK2" s="1278"/>
      <c r="AL2" s="1279"/>
      <c r="AM2" s="726" t="s">
        <v>396</v>
      </c>
      <c r="AO2" s="66"/>
      <c r="AP2" s="66" t="str">
        <f t="shared" ref="AP2:AP15" si="0">IF(T2="","",T2)</f>
        <v>Наименование тарифа</v>
      </c>
      <c r="AQ2" s="66"/>
      <c r="AR2" s="66"/>
      <c r="AS2" s="10">
        <v>0</v>
      </c>
    </row>
    <row r="3" spans="1:45" ht="21" hidden="1" customHeight="1">
      <c r="A3" s="766"/>
      <c r="B3" s="766"/>
      <c r="C3" s="766"/>
      <c r="D3" s="766"/>
      <c r="E3" s="1284"/>
      <c r="F3" s="1283">
        <v>1</v>
      </c>
      <c r="G3" s="766"/>
      <c r="H3" s="766"/>
      <c r="I3" s="766"/>
      <c r="J3" s="766"/>
      <c r="K3" s="766"/>
      <c r="L3" s="767"/>
      <c r="M3" s="423"/>
      <c r="N3" s="423"/>
      <c r="O3" s="423"/>
      <c r="P3" s="56"/>
      <c r="Q3" s="201"/>
      <c r="R3" s="202"/>
      <c r="S3" s="706" t="e">
        <f>INDEX(PT_DIFFERENTIATION_NUM_TER,MATCH(B3,PT_DIFFERENTIATION_TER_ID,0))</f>
        <v>#N/A</v>
      </c>
      <c r="T3" s="174" t="s">
        <v>397</v>
      </c>
      <c r="U3" s="168"/>
      <c r="V3" s="1277"/>
      <c r="W3" s="1278"/>
      <c r="X3" s="1278"/>
      <c r="Y3" s="1278"/>
      <c r="Z3" s="1278"/>
      <c r="AA3" s="1278"/>
      <c r="AB3" s="1278"/>
      <c r="AC3" s="1279"/>
      <c r="AD3" s="1277" t="e">
        <f>INDEX(PT_DIFFERENTIATION_TER,MATCH(B3,PT_DIFFERENTIATION_TER_ID,0))</f>
        <v>#N/A</v>
      </c>
      <c r="AE3" s="1278"/>
      <c r="AF3" s="1278"/>
      <c r="AG3" s="1278"/>
      <c r="AH3" s="1278"/>
      <c r="AI3" s="1278"/>
      <c r="AJ3" s="1278"/>
      <c r="AK3" s="1278"/>
      <c r="AL3" s="1279"/>
      <c r="AM3" s="726" t="s">
        <v>398</v>
      </c>
      <c r="AO3" s="66"/>
      <c r="AP3" s="66" t="str">
        <f t="shared" si="0"/>
        <v>Территория действия тарифа</v>
      </c>
      <c r="AQ3" s="66"/>
      <c r="AR3" s="66"/>
      <c r="AS3" s="10">
        <v>0</v>
      </c>
    </row>
    <row r="4" spans="1:45" ht="23.25" hidden="1" customHeight="1">
      <c r="A4" s="766"/>
      <c r="B4" s="766"/>
      <c r="C4" s="766"/>
      <c r="D4" s="766"/>
      <c r="E4" s="1284"/>
      <c r="F4" s="1284"/>
      <c r="G4" s="1283">
        <v>1</v>
      </c>
      <c r="H4" s="766"/>
      <c r="I4" s="766"/>
      <c r="J4" s="766"/>
      <c r="K4" s="766"/>
      <c r="L4" s="767"/>
      <c r="M4" s="423"/>
      <c r="N4" s="423"/>
      <c r="O4" s="423"/>
      <c r="P4" s="203"/>
      <c r="Q4" s="201"/>
      <c r="R4" s="202"/>
      <c r="S4" s="706" t="e">
        <f>INDEX(PT_DIFFERENTIATION_NUM_CS,MATCH(C4,PT_DIFFERENTIATION_CS_ID,0))</f>
        <v>#N/A</v>
      </c>
      <c r="T4" s="175" t="s">
        <v>399</v>
      </c>
      <c r="U4" s="168"/>
      <c r="V4" s="1277"/>
      <c r="W4" s="1278"/>
      <c r="X4" s="1278"/>
      <c r="Y4" s="1278"/>
      <c r="Z4" s="1278"/>
      <c r="AA4" s="1278"/>
      <c r="AB4" s="1278"/>
      <c r="AC4" s="1279"/>
      <c r="AD4" s="1277" t="e">
        <f>INDEX(PT_DIFFERENTIATION_CS,MATCH(C4,PT_DIFFERENTIATION_CS_ID,0))</f>
        <v>#N/A</v>
      </c>
      <c r="AE4" s="1278"/>
      <c r="AF4" s="1278"/>
      <c r="AG4" s="1278"/>
      <c r="AH4" s="1278"/>
      <c r="AI4" s="1278"/>
      <c r="AJ4" s="1278"/>
      <c r="AK4" s="1278"/>
      <c r="AL4" s="1279"/>
      <c r="AM4" s="726" t="s">
        <v>400</v>
      </c>
      <c r="AO4" s="66"/>
      <c r="AP4" s="66" t="str">
        <f t="shared" si="0"/>
        <v xml:space="preserve">Наименование системы теплоснабжения </v>
      </c>
      <c r="AQ4" s="66"/>
      <c r="AR4" s="66"/>
      <c r="AS4" s="10">
        <v>0</v>
      </c>
    </row>
    <row r="5" spans="1:45" ht="21" hidden="1" customHeight="1">
      <c r="A5" s="766"/>
      <c r="B5" s="766"/>
      <c r="C5" s="766"/>
      <c r="D5" s="766"/>
      <c r="E5" s="1284"/>
      <c r="F5" s="1284"/>
      <c r="G5" s="1284"/>
      <c r="H5" s="1283">
        <v>1</v>
      </c>
      <c r="I5" s="766"/>
      <c r="J5" s="766"/>
      <c r="K5" s="766"/>
      <c r="L5" s="767"/>
      <c r="M5" s="423"/>
      <c r="N5" s="423"/>
      <c r="O5" s="423"/>
      <c r="P5" s="203"/>
      <c r="Q5" s="201"/>
      <c r="R5" s="202"/>
      <c r="S5" s="706" t="e">
        <f>INDEX(PT_DIFFERENTIATION_NUM_IST_TE,MATCH(D5,PT_DIFFERENTIATION_IST_TE_ID,0))</f>
        <v>#N/A</v>
      </c>
      <c r="T5" s="176" t="s">
        <v>401</v>
      </c>
      <c r="U5" s="168"/>
      <c r="V5" s="1277"/>
      <c r="W5" s="1278"/>
      <c r="X5" s="1278"/>
      <c r="Y5" s="1278"/>
      <c r="Z5" s="1278"/>
      <c r="AA5" s="1278"/>
      <c r="AB5" s="1278"/>
      <c r="AC5" s="1279"/>
      <c r="AD5" s="1277" t="e">
        <f>INDEX(PT_DIFFERENTIATION_IST_TE,MATCH(D5,PT_DIFFERENTIATION_IST_TE_ID,0))</f>
        <v>#N/A</v>
      </c>
      <c r="AE5" s="1278"/>
      <c r="AF5" s="1278"/>
      <c r="AG5" s="1278"/>
      <c r="AH5" s="1278"/>
      <c r="AI5" s="1278"/>
      <c r="AJ5" s="1278"/>
      <c r="AK5" s="1278"/>
      <c r="AL5" s="1279"/>
      <c r="AM5" s="726" t="s">
        <v>402</v>
      </c>
      <c r="AO5" s="66"/>
      <c r="AP5" s="66" t="str">
        <f t="shared" si="0"/>
        <v xml:space="preserve">Источник тепловой энергии  </v>
      </c>
      <c r="AQ5" s="66"/>
      <c r="AR5" s="66"/>
      <c r="AS5" s="10">
        <v>0</v>
      </c>
    </row>
    <row r="6" spans="1:45" ht="14.25" hidden="1" customHeight="1">
      <c r="A6" s="766"/>
      <c r="B6" s="766"/>
      <c r="C6" s="766"/>
      <c r="D6" s="766"/>
      <c r="E6" s="1284"/>
      <c r="F6" s="1284"/>
      <c r="G6" s="1284"/>
      <c r="H6" s="1284"/>
      <c r="I6" s="1285" t="e">
        <f>S5&amp;".1"</f>
        <v>#N/A</v>
      </c>
      <c r="J6" s="766"/>
      <c r="K6" s="766"/>
      <c r="L6" s="767" t="s">
        <v>403</v>
      </c>
      <c r="M6" s="60"/>
      <c r="P6" s="1287">
        <v>1</v>
      </c>
      <c r="Q6" s="119"/>
      <c r="R6" s="205"/>
      <c r="S6" s="359"/>
      <c r="T6" s="776"/>
      <c r="U6" s="777"/>
      <c r="V6" s="1314"/>
      <c r="W6" s="1315"/>
      <c r="X6" s="1315"/>
      <c r="Y6" s="1315"/>
      <c r="Z6" s="1315"/>
      <c r="AA6" s="1315"/>
      <c r="AB6" s="1315"/>
      <c r="AC6" s="1316"/>
      <c r="AD6" s="1314"/>
      <c r="AE6" s="1315"/>
      <c r="AF6" s="1315"/>
      <c r="AG6" s="1315"/>
      <c r="AH6" s="1315"/>
      <c r="AI6" s="1315"/>
      <c r="AJ6" s="1315"/>
      <c r="AK6" s="1315"/>
      <c r="AL6" s="1316"/>
      <c r="AM6" s="778"/>
      <c r="AO6" s="66"/>
      <c r="AP6" s="66" t="str">
        <f t="shared" si="0"/>
        <v/>
      </c>
      <c r="AQ6" s="66"/>
      <c r="AR6" s="66"/>
      <c r="AS6" s="10">
        <v>0</v>
      </c>
    </row>
    <row r="7" spans="1:45" ht="21" hidden="1" customHeight="1">
      <c r="A7" s="766"/>
      <c r="B7" s="766"/>
      <c r="C7" s="766"/>
      <c r="D7" s="766"/>
      <c r="E7" s="1284"/>
      <c r="F7" s="1284"/>
      <c r="G7" s="1284"/>
      <c r="H7" s="1284"/>
      <c r="I7" s="1286"/>
      <c r="J7" s="1285" t="e">
        <f>I6&amp;".1"</f>
        <v>#N/A</v>
      </c>
      <c r="K7" s="766"/>
      <c r="L7" s="767" t="s">
        <v>406</v>
      </c>
      <c r="M7" s="60"/>
      <c r="N7" s="60"/>
      <c r="P7" s="1287"/>
      <c r="Q7" s="1287">
        <v>1</v>
      </c>
      <c r="R7" s="206"/>
      <c r="S7" s="706" t="e">
        <f>$J7</f>
        <v>#N/A</v>
      </c>
      <c r="T7" s="162" t="s">
        <v>407</v>
      </c>
      <c r="U7" s="168"/>
      <c r="V7" s="1271"/>
      <c r="W7" s="1272"/>
      <c r="X7" s="1272"/>
      <c r="Y7" s="1272"/>
      <c r="Z7" s="1272"/>
      <c r="AA7" s="1272"/>
      <c r="AB7" s="1272"/>
      <c r="AC7" s="1273"/>
      <c r="AD7" s="1271"/>
      <c r="AE7" s="1272"/>
      <c r="AF7" s="1272"/>
      <c r="AG7" s="1272"/>
      <c r="AH7" s="1272"/>
      <c r="AI7" s="1272"/>
      <c r="AJ7" s="1272"/>
      <c r="AK7" s="1272"/>
      <c r="AL7" s="1273"/>
      <c r="AM7" s="726" t="s">
        <v>408</v>
      </c>
      <c r="AO7" s="66"/>
      <c r="AP7" s="66" t="str">
        <f t="shared" si="0"/>
        <v>Группа потребителей</v>
      </c>
      <c r="AQ7" s="66"/>
      <c r="AR7" s="66"/>
      <c r="AS7" s="10">
        <v>0</v>
      </c>
    </row>
    <row r="8" spans="1:45" ht="21" hidden="1" customHeight="1">
      <c r="A8" s="766"/>
      <c r="B8" s="766"/>
      <c r="C8" s="766"/>
      <c r="D8" s="766"/>
      <c r="E8" s="1284"/>
      <c r="F8" s="1284"/>
      <c r="G8" s="1284"/>
      <c r="H8" s="1284"/>
      <c r="I8" s="1286"/>
      <c r="J8" s="1286"/>
      <c r="K8" s="1285" t="e">
        <f>J7&amp;".1"</f>
        <v>#N/A</v>
      </c>
      <c r="L8" s="767" t="s">
        <v>409</v>
      </c>
      <c r="M8" s="60"/>
      <c r="N8" s="60"/>
      <c r="O8" s="60"/>
      <c r="P8" s="1287"/>
      <c r="Q8" s="1287"/>
      <c r="R8" s="206">
        <v>1</v>
      </c>
      <c r="S8" s="706" t="e">
        <f>$K8</f>
        <v>#N/A</v>
      </c>
      <c r="T8" s="762"/>
      <c r="U8" s="168"/>
      <c r="V8" s="303"/>
      <c r="W8" s="188"/>
      <c r="X8" s="303"/>
      <c r="Y8" s="725"/>
      <c r="Z8" s="1288"/>
      <c r="AA8" s="1156" t="s">
        <v>64</v>
      </c>
      <c r="AB8" s="1288"/>
      <c r="AC8" s="1156" t="s">
        <v>64</v>
      </c>
      <c r="AD8" s="303"/>
      <c r="AE8" s="188"/>
      <c r="AF8" s="303"/>
      <c r="AG8" s="725"/>
      <c r="AH8" s="1288"/>
      <c r="AI8" s="1156" t="s">
        <v>64</v>
      </c>
      <c r="AJ8" s="1288"/>
      <c r="AK8" s="1156" t="s">
        <v>64</v>
      </c>
      <c r="AL8" s="188"/>
      <c r="AM8" s="1306" t="s">
        <v>410</v>
      </c>
      <c r="AN8" s="65" t="e">
        <f ca="1">STRCHECKDATE(V9:AL9)</f>
        <v>#NAME?</v>
      </c>
      <c r="AO8" s="66"/>
      <c r="AP8" s="66" t="str">
        <f t="shared" si="0"/>
        <v/>
      </c>
      <c r="AQ8" s="66"/>
      <c r="AR8" s="66"/>
      <c r="AS8" s="10">
        <v>0</v>
      </c>
    </row>
    <row r="9" spans="1:45" ht="0.75" hidden="1" customHeight="1">
      <c r="A9" s="766"/>
      <c r="B9" s="766"/>
      <c r="C9" s="766"/>
      <c r="D9" s="766"/>
      <c r="E9" s="1284"/>
      <c r="F9" s="1284"/>
      <c r="G9" s="1284"/>
      <c r="H9" s="1284"/>
      <c r="I9" s="1286"/>
      <c r="J9" s="1286"/>
      <c r="K9" s="1285"/>
      <c r="L9" s="767"/>
      <c r="M9" s="60"/>
      <c r="N9" s="60"/>
      <c r="O9" s="60"/>
      <c r="P9" s="1287"/>
      <c r="Q9" s="1287"/>
      <c r="R9" s="206"/>
      <c r="S9" s="62"/>
      <c r="T9" s="168"/>
      <c r="U9" s="168"/>
      <c r="V9" s="188"/>
      <c r="W9" s="188"/>
      <c r="X9" s="188"/>
      <c r="Y9" s="189" t="str">
        <f>Z8&amp;"-"&amp;AB8</f>
        <v>-</v>
      </c>
      <c r="Z9" s="1289"/>
      <c r="AA9" s="1156"/>
      <c r="AB9" s="1289"/>
      <c r="AC9" s="1156"/>
      <c r="AD9" s="188"/>
      <c r="AE9" s="188"/>
      <c r="AF9" s="188"/>
      <c r="AG9" s="189" t="str">
        <f>AH8&amp;"-"&amp;AJ8</f>
        <v>-</v>
      </c>
      <c r="AH9" s="1289"/>
      <c r="AI9" s="1156"/>
      <c r="AJ9" s="1289"/>
      <c r="AK9" s="1156"/>
      <c r="AL9" s="188"/>
      <c r="AM9" s="1307"/>
      <c r="AO9" s="66"/>
      <c r="AP9" s="66" t="str">
        <f t="shared" si="0"/>
        <v/>
      </c>
      <c r="AQ9" s="66"/>
      <c r="AR9" s="66"/>
      <c r="AS9" s="10">
        <v>0</v>
      </c>
    </row>
    <row r="10" spans="1:45" ht="15" hidden="1" customHeight="1">
      <c r="A10" s="766"/>
      <c r="B10" s="766"/>
      <c r="C10" s="766"/>
      <c r="D10" s="766"/>
      <c r="E10" s="1284"/>
      <c r="F10" s="1284"/>
      <c r="G10" s="1284"/>
      <c r="H10" s="1284"/>
      <c r="I10" s="1286"/>
      <c r="J10" s="1285"/>
      <c r="K10" s="766"/>
      <c r="L10" s="767"/>
      <c r="M10" s="60"/>
      <c r="N10" s="60"/>
      <c r="P10" s="1287"/>
      <c r="Q10" s="1287"/>
      <c r="R10" s="205"/>
      <c r="S10" s="739"/>
      <c r="T10" s="163" t="s">
        <v>411</v>
      </c>
      <c r="U10" s="210"/>
      <c r="V10" s="210"/>
      <c r="W10" s="210"/>
      <c r="X10" s="210"/>
      <c r="Y10" s="210"/>
      <c r="Z10" s="210"/>
      <c r="AA10" s="210"/>
      <c r="AB10" s="210"/>
      <c r="AC10" s="210"/>
      <c r="AD10" s="210"/>
      <c r="AE10" s="210"/>
      <c r="AF10" s="210"/>
      <c r="AG10" s="210"/>
      <c r="AH10" s="210"/>
      <c r="AI10" s="210"/>
      <c r="AJ10" s="210"/>
      <c r="AK10" s="210"/>
      <c r="AL10" s="187"/>
      <c r="AM10" s="1308"/>
      <c r="AO10" s="66"/>
      <c r="AP10" s="66" t="str">
        <f t="shared" si="0"/>
        <v>Добавить вид теплоносителя (параметры теплоносителя)</v>
      </c>
      <c r="AQ10" s="66"/>
      <c r="AR10" s="66"/>
      <c r="AS10" s="10">
        <v>0</v>
      </c>
    </row>
    <row r="11" spans="1:45" ht="15" hidden="1" customHeight="1">
      <c r="A11" s="766"/>
      <c r="B11" s="766"/>
      <c r="C11" s="766"/>
      <c r="D11" s="766"/>
      <c r="E11" s="1284"/>
      <c r="F11" s="1284"/>
      <c r="G11" s="1284"/>
      <c r="H11" s="1284"/>
      <c r="I11" s="1285"/>
      <c r="J11" s="766"/>
      <c r="K11" s="766"/>
      <c r="L11" s="767"/>
      <c r="M11" s="60"/>
      <c r="P11" s="1287"/>
      <c r="Q11" s="119"/>
      <c r="R11" s="205"/>
      <c r="S11" s="739"/>
      <c r="T11" s="208" t="s">
        <v>412</v>
      </c>
      <c r="U11" s="210"/>
      <c r="V11" s="210"/>
      <c r="W11" s="210"/>
      <c r="X11" s="210"/>
      <c r="Y11" s="210"/>
      <c r="Z11" s="210"/>
      <c r="AA11" s="210"/>
      <c r="AB11" s="210"/>
      <c r="AC11" s="209"/>
      <c r="AD11" s="210"/>
      <c r="AE11" s="210"/>
      <c r="AF11" s="210"/>
      <c r="AG11" s="210"/>
      <c r="AH11" s="210"/>
      <c r="AI11" s="210"/>
      <c r="AJ11" s="210"/>
      <c r="AK11" s="209"/>
      <c r="AL11" s="210"/>
      <c r="AM11" s="171"/>
      <c r="AO11" s="66"/>
      <c r="AP11" s="66" t="str">
        <f t="shared" si="0"/>
        <v>Добавить группу потребителей</v>
      </c>
      <c r="AQ11" s="66"/>
      <c r="AR11" s="66"/>
      <c r="AS11" s="10">
        <v>0</v>
      </c>
    </row>
    <row r="12" spans="1:45" ht="14.25" hidden="1" customHeight="1">
      <c r="A12" s="766"/>
      <c r="B12" s="766"/>
      <c r="C12" s="766"/>
      <c r="D12" s="766"/>
      <c r="E12" s="1284"/>
      <c r="F12" s="1284"/>
      <c r="G12" s="1284"/>
      <c r="H12" s="1283"/>
      <c r="I12" s="766"/>
      <c r="J12" s="766"/>
      <c r="K12" s="766"/>
      <c r="L12" s="767"/>
      <c r="M12" s="423"/>
      <c r="N12" s="423"/>
      <c r="O12" s="60"/>
      <c r="P12" s="33"/>
      <c r="Q12" s="213"/>
      <c r="R12" s="204"/>
      <c r="S12" s="779"/>
      <c r="T12" s="780"/>
      <c r="U12" s="781"/>
      <c r="V12" s="781"/>
      <c r="W12" s="781"/>
      <c r="X12" s="781"/>
      <c r="Y12" s="781"/>
      <c r="Z12" s="781"/>
      <c r="AA12" s="781"/>
      <c r="AB12" s="781"/>
      <c r="AC12" s="781"/>
      <c r="AD12" s="781"/>
      <c r="AE12" s="781"/>
      <c r="AF12" s="781"/>
      <c r="AG12" s="781"/>
      <c r="AH12" s="781"/>
      <c r="AI12" s="781"/>
      <c r="AJ12" s="781"/>
      <c r="AK12" s="781"/>
      <c r="AL12" s="781"/>
      <c r="AM12" s="782"/>
      <c r="AO12" s="66"/>
      <c r="AP12" s="66" t="str">
        <f t="shared" si="0"/>
        <v/>
      </c>
      <c r="AQ12" s="66"/>
      <c r="AR12" s="66"/>
      <c r="AS12" s="10">
        <v>0</v>
      </c>
    </row>
    <row r="13" spans="1:45" s="65" customFormat="1" ht="0.75" hidden="1" customHeight="1">
      <c r="A13" s="142"/>
      <c r="B13" s="142"/>
      <c r="C13" s="142"/>
      <c r="D13" s="142"/>
      <c r="E13" s="1284"/>
      <c r="F13" s="1284"/>
      <c r="G13" s="1283"/>
      <c r="H13" s="142"/>
      <c r="I13" s="142"/>
      <c r="J13" s="142"/>
      <c r="K13" s="142"/>
      <c r="L13" s="343"/>
      <c r="M13" s="290"/>
      <c r="N13" s="290"/>
      <c r="P13" s="101"/>
      <c r="Q13" s="752"/>
      <c r="R13" s="101"/>
      <c r="S13" s="753"/>
      <c r="T13" s="754" t="s">
        <v>414</v>
      </c>
      <c r="U13" s="755"/>
      <c r="V13" s="755"/>
      <c r="W13" s="755"/>
      <c r="X13" s="755"/>
      <c r="Y13" s="755"/>
      <c r="Z13" s="755"/>
      <c r="AA13" s="755"/>
      <c r="AB13" s="755"/>
      <c r="AC13" s="755"/>
      <c r="AD13" s="755"/>
      <c r="AE13" s="755"/>
      <c r="AF13" s="755"/>
      <c r="AG13" s="755"/>
      <c r="AH13" s="755"/>
      <c r="AI13" s="755"/>
      <c r="AJ13" s="755"/>
      <c r="AK13" s="755"/>
      <c r="AL13" s="755"/>
      <c r="AM13" s="755"/>
      <c r="AO13" s="66"/>
      <c r="AP13" s="66" t="str">
        <f t="shared" si="0"/>
        <v>Добавить источник для дифференциации</v>
      </c>
      <c r="AQ13" s="66"/>
      <c r="AR13" s="66"/>
      <c r="AS13" s="65">
        <v>0</v>
      </c>
    </row>
    <row r="14" spans="1:45" s="65" customFormat="1" ht="0.75" hidden="1" customHeight="1">
      <c r="A14" s="142"/>
      <c r="B14" s="142"/>
      <c r="C14" s="142"/>
      <c r="D14" s="142"/>
      <c r="E14" s="1284"/>
      <c r="F14" s="1283"/>
      <c r="G14" s="142"/>
      <c r="H14" s="142"/>
      <c r="I14" s="142"/>
      <c r="J14" s="142"/>
      <c r="K14" s="142"/>
      <c r="L14" s="343"/>
      <c r="M14" s="756"/>
      <c r="N14" s="756"/>
      <c r="P14" s="101"/>
      <c r="Q14" s="752"/>
      <c r="R14" s="101"/>
      <c r="S14" s="757"/>
      <c r="T14" s="758" t="s">
        <v>231</v>
      </c>
      <c r="U14" s="310"/>
      <c r="V14" s="310"/>
      <c r="W14" s="310"/>
      <c r="X14" s="310"/>
      <c r="Y14" s="310"/>
      <c r="Z14" s="310"/>
      <c r="AA14" s="310"/>
      <c r="AB14" s="310"/>
      <c r="AC14" s="310"/>
      <c r="AD14" s="310"/>
      <c r="AE14" s="310"/>
      <c r="AF14" s="310"/>
      <c r="AG14" s="310"/>
      <c r="AH14" s="310"/>
      <c r="AI14" s="310"/>
      <c r="AJ14" s="310"/>
      <c r="AK14" s="310"/>
      <c r="AL14" s="310"/>
      <c r="AM14" s="310"/>
      <c r="AO14" s="66"/>
      <c r="AP14" s="66" t="str">
        <f t="shared" si="0"/>
        <v>Добавить централизованную систему для дифференциации</v>
      </c>
      <c r="AQ14" s="66"/>
      <c r="AR14" s="66"/>
      <c r="AS14" s="65">
        <v>0</v>
      </c>
    </row>
    <row r="15" spans="1:45" s="65" customFormat="1" ht="0.75" hidden="1" customHeight="1">
      <c r="A15" s="142"/>
      <c r="B15" s="142"/>
      <c r="C15" s="142"/>
      <c r="D15" s="142"/>
      <c r="E15" s="1283"/>
      <c r="F15" s="142"/>
      <c r="G15" s="142"/>
      <c r="H15" s="142"/>
      <c r="I15" s="142"/>
      <c r="J15" s="142"/>
      <c r="K15" s="142"/>
      <c r="L15" s="343"/>
      <c r="M15" s="756"/>
      <c r="N15" s="756"/>
      <c r="P15" s="101"/>
      <c r="Q15" s="752"/>
      <c r="R15" s="101"/>
      <c r="S15" s="757"/>
      <c r="T15" s="759" t="s">
        <v>232</v>
      </c>
      <c r="U15" s="310"/>
      <c r="V15" s="310"/>
      <c r="W15" s="310"/>
      <c r="X15" s="310"/>
      <c r="Y15" s="310"/>
      <c r="Z15" s="310"/>
      <c r="AA15" s="310"/>
      <c r="AB15" s="310"/>
      <c r="AC15" s="310"/>
      <c r="AD15" s="310"/>
      <c r="AE15" s="310"/>
      <c r="AF15" s="310"/>
      <c r="AG15" s="310"/>
      <c r="AH15" s="310"/>
      <c r="AI15" s="310"/>
      <c r="AJ15" s="310"/>
      <c r="AK15" s="310"/>
      <c r="AL15" s="310"/>
      <c r="AM15" s="310"/>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5"/>
      <c r="AE17" s="365"/>
      <c r="AF17" s="365"/>
      <c r="AG17" s="765"/>
      <c r="AH17" s="1281"/>
      <c r="AI17" s="1280" t="s">
        <v>64</v>
      </c>
      <c r="AJ17" s="1281"/>
      <c r="AK17" s="1280" t="s">
        <v>64</v>
      </c>
      <c r="AS17" s="10">
        <v>0</v>
      </c>
    </row>
    <row r="18" spans="1:45" ht="14.25" hidden="1" customHeight="1">
      <c r="AD18" s="365"/>
      <c r="AE18" s="365"/>
      <c r="AF18" s="365"/>
      <c r="AG18" s="189" t="str">
        <f>AH17&amp;"-"&amp;AJ17</f>
        <v>-</v>
      </c>
      <c r="AH18" s="1280"/>
      <c r="AI18" s="1280"/>
      <c r="AJ18" s="1280"/>
      <c r="AK18" s="1280"/>
      <c r="AS18" s="10">
        <v>0</v>
      </c>
    </row>
    <row r="19" spans="1:45" ht="14.25" hidden="1" customHeight="1">
      <c r="AS19" s="10">
        <v>0</v>
      </c>
    </row>
    <row r="20" spans="1:45" s="60" customFormat="1" ht="22.5" hidden="1" customHeight="1">
      <c r="L20" s="298"/>
      <c r="M20" s="503"/>
      <c r="N20" s="503"/>
      <c r="O20" s="768" t="s">
        <v>415</v>
      </c>
      <c r="P20" s="503"/>
      <c r="Q20" s="769"/>
      <c r="R20" s="769"/>
      <c r="S20" s="423"/>
      <c r="Z20" s="768"/>
      <c r="AB20" s="768"/>
      <c r="AH20" s="768"/>
      <c r="AJ20" s="768"/>
      <c r="AN20" s="65"/>
      <c r="AO20" s="65"/>
      <c r="AP20" s="65"/>
      <c r="AQ20" s="65"/>
      <c r="AR20" s="65"/>
      <c r="AS20" s="60">
        <v>0</v>
      </c>
    </row>
    <row r="21" spans="1:45" s="60" customFormat="1" ht="14.25" hidden="1" customHeight="1">
      <c r="L21" s="298"/>
      <c r="M21" s="503"/>
      <c r="N21" s="503"/>
      <c r="O21" s="503"/>
      <c r="P21" s="503"/>
      <c r="Q21" s="769"/>
      <c r="R21" s="769"/>
      <c r="S21" s="423"/>
      <c r="AN21" s="65"/>
      <c r="AO21" s="65"/>
      <c r="AP21" s="65"/>
      <c r="AQ21" s="65"/>
      <c r="AR21" s="65"/>
      <c r="AS21" s="60">
        <v>0</v>
      </c>
    </row>
    <row r="22" spans="1:45" s="60" customFormat="1" ht="14.25" hidden="1" customHeight="1">
      <c r="L22" s="298"/>
      <c r="M22" s="503"/>
      <c r="N22" s="503"/>
      <c r="O22" s="767" t="s">
        <v>416</v>
      </c>
      <c r="P22" s="503"/>
      <c r="Q22" s="769"/>
      <c r="R22" s="769"/>
      <c r="S22" s="423"/>
      <c r="T22" s="60" t="s">
        <v>417</v>
      </c>
      <c r="AA22" s="79" t="s">
        <v>418</v>
      </c>
      <c r="AC22" s="79" t="s">
        <v>419</v>
      </c>
      <c r="AD22" s="60" t="s">
        <v>417</v>
      </c>
      <c r="AI22" s="79" t="s">
        <v>420</v>
      </c>
      <c r="AK22" s="79" t="s">
        <v>419</v>
      </c>
      <c r="AN22" s="65"/>
      <c r="AO22" s="65"/>
      <c r="AP22" s="65"/>
      <c r="AQ22" s="65"/>
      <c r="AR22" s="65"/>
      <c r="AS22" s="60">
        <v>0</v>
      </c>
    </row>
    <row r="23" spans="1:45" ht="14.25" hidden="1" customHeight="1">
      <c r="O23" s="767"/>
      <c r="AS23" s="10">
        <v>0</v>
      </c>
    </row>
    <row r="24" spans="1:45" ht="14.25" hidden="1" customHeight="1">
      <c r="O24" s="767"/>
      <c r="AS24" s="10">
        <v>0</v>
      </c>
    </row>
    <row r="25" spans="1:45" ht="14.65" customHeight="1">
      <c r="Q25" s="27"/>
      <c r="R25" s="27"/>
      <c r="S25" s="736"/>
      <c r="T25" s="9"/>
      <c r="U25" s="9"/>
      <c r="AS25" s="10">
        <v>14</v>
      </c>
    </row>
    <row r="26" spans="1:45" ht="63" customHeight="1">
      <c r="Q26" s="27"/>
      <c r="R26" s="27"/>
      <c r="S26" s="12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4"/>
      <c r="U26" s="1264"/>
      <c r="V26" s="1264"/>
      <c r="W26" s="1264"/>
      <c r="X26" s="1264"/>
      <c r="Y26" s="1264"/>
      <c r="Z26" s="1264"/>
      <c r="AA26" s="1264"/>
      <c r="AB26" s="1264"/>
      <c r="AC26" s="1264"/>
      <c r="AD26" s="1264"/>
      <c r="AE26" s="1264"/>
      <c r="AF26" s="1264"/>
      <c r="AG26" s="1264"/>
      <c r="AH26" s="1264"/>
      <c r="AI26" s="1264"/>
      <c r="AJ26" s="1264"/>
      <c r="AK26" s="57"/>
      <c r="AS26" s="10">
        <v>60</v>
      </c>
    </row>
    <row r="27" spans="1:45" ht="14.65" customHeight="1">
      <c r="Q27" s="27"/>
      <c r="R27" s="27"/>
      <c r="S27" s="1236" t="str">
        <f>IF(org=0,"Не определено",org)</f>
        <v>Общество с ограниченной ответственностью "Березовский рудник"</v>
      </c>
      <c r="T27" s="1236"/>
      <c r="U27" s="1236"/>
      <c r="V27" s="1236"/>
      <c r="W27" s="1236"/>
      <c r="X27" s="1236"/>
      <c r="Y27" s="1236"/>
      <c r="Z27" s="1236"/>
      <c r="AA27" s="1236"/>
      <c r="AB27" s="1236"/>
      <c r="AC27" s="1236"/>
      <c r="AD27" s="1236"/>
      <c r="AE27" s="1236"/>
      <c r="AF27" s="1236"/>
      <c r="AG27" s="1236"/>
      <c r="AH27" s="1236"/>
      <c r="AI27" s="1236"/>
      <c r="AJ27" s="1236"/>
      <c r="AK27" s="57"/>
      <c r="AS27" s="10">
        <v>14</v>
      </c>
    </row>
    <row r="28" spans="1:45" ht="14.25" hidden="1" customHeight="1">
      <c r="Q28" s="27"/>
      <c r="R28" s="27"/>
      <c r="S28" s="736"/>
      <c r="T28" s="9"/>
      <c r="U28" s="9"/>
      <c r="V28" s="186"/>
      <c r="W28" s="186"/>
      <c r="X28" s="186"/>
      <c r="Y28" s="186"/>
      <c r="Z28" s="186"/>
      <c r="AA28" s="186"/>
      <c r="AB28" s="186"/>
      <c r="AC28" s="186"/>
      <c r="AD28" s="186"/>
      <c r="AE28" s="186"/>
      <c r="AF28" s="186"/>
      <c r="AG28" s="186"/>
      <c r="AH28" s="186"/>
      <c r="AI28" s="186"/>
      <c r="AJ28" s="186"/>
      <c r="AK28" s="186"/>
      <c r="AS28" s="10">
        <v>0</v>
      </c>
    </row>
    <row r="29" spans="1:45" s="34" customFormat="1" ht="25.5" hidden="1" customHeight="1">
      <c r="A29" s="79"/>
      <c r="B29" s="79"/>
      <c r="C29" s="79"/>
      <c r="D29" s="79"/>
      <c r="E29" s="79"/>
      <c r="F29" s="79"/>
      <c r="G29" s="79"/>
      <c r="H29" s="79"/>
      <c r="I29" s="79"/>
      <c r="J29" s="79"/>
      <c r="K29" s="79"/>
      <c r="L29" s="767"/>
      <c r="M29" s="79"/>
      <c r="N29" s="79"/>
      <c r="O29" s="79"/>
      <c r="S29" s="1274" t="s">
        <v>41</v>
      </c>
      <c r="T29" s="1274"/>
      <c r="U29" s="770"/>
      <c r="V29" s="1276" t="str">
        <f>IF(TITLE_NAME_OR_PR_CHANGE="",IF(TITLE_NAME_OR_PR="","",TITLE_NAME_OR_PR),TITLE_NAME_OR_PR_CHANGE)</f>
        <v/>
      </c>
      <c r="W29" s="1276"/>
      <c r="X29" s="1276"/>
      <c r="Y29" s="1276"/>
      <c r="Z29" s="1276"/>
      <c r="AA29" s="1276"/>
      <c r="AB29" s="1276"/>
      <c r="AC29" s="10"/>
      <c r="AD29" s="1276" t="str">
        <f>IF(TITLE_NAME_OR_PR_CHANGE="",IF(TITLE_NAME_OR_PR="","",TITLE_NAME_OR_PR),TITLE_NAME_OR_PR_CHANGE)</f>
        <v/>
      </c>
      <c r="AE29" s="1276"/>
      <c r="AF29" s="1276"/>
      <c r="AG29" s="1276"/>
      <c r="AH29" s="1276"/>
      <c r="AI29" s="1276"/>
      <c r="AJ29" s="1276"/>
      <c r="AK29" s="10"/>
      <c r="AL29" s="10"/>
      <c r="AM29" s="160"/>
      <c r="AN29" s="66"/>
      <c r="AO29" s="66"/>
      <c r="AP29" s="66"/>
      <c r="AQ29" s="66"/>
      <c r="AR29" s="66"/>
      <c r="AS29" s="34">
        <v>0</v>
      </c>
    </row>
    <row r="30" spans="1:45" s="34" customFormat="1" ht="18.75" hidden="1" customHeight="1">
      <c r="A30" s="79"/>
      <c r="B30" s="79"/>
      <c r="C30" s="79"/>
      <c r="D30" s="79"/>
      <c r="E30" s="79"/>
      <c r="F30" s="79"/>
      <c r="G30" s="79"/>
      <c r="H30" s="79"/>
      <c r="I30" s="79"/>
      <c r="J30" s="79"/>
      <c r="K30" s="79"/>
      <c r="L30" s="767"/>
      <c r="M30" s="79"/>
      <c r="N30" s="79"/>
      <c r="O30" s="79"/>
      <c r="S30" s="1274" t="s">
        <v>421</v>
      </c>
      <c r="T30" s="1274"/>
      <c r="U30" s="770"/>
      <c r="V30" s="1275">
        <f>IF(TITLE_DATE_PR_CHANGE="",IF(TITLE_DATE_PR="","",TITLE_DATE_PR),TITLE_DATE_PR_CHANGE)</f>
        <v>45805</v>
      </c>
      <c r="W30" s="1275"/>
      <c r="X30" s="1275"/>
      <c r="Y30" s="1275"/>
      <c r="Z30" s="1275"/>
      <c r="AA30" s="1275"/>
      <c r="AB30" s="1275"/>
      <c r="AC30" s="10"/>
      <c r="AD30" s="1275">
        <f>IF(TITLE_DATE_PR_CHANGE="",IF(TITLE_DATE_PR="","",TITLE_DATE_PR),TITLE_DATE_PR_CHANGE)</f>
        <v>45805</v>
      </c>
      <c r="AE30" s="1275"/>
      <c r="AF30" s="1275"/>
      <c r="AG30" s="1275"/>
      <c r="AH30" s="1275"/>
      <c r="AI30" s="1275"/>
      <c r="AJ30" s="1275"/>
      <c r="AK30" s="10"/>
      <c r="AL30" s="10"/>
      <c r="AM30" s="160"/>
      <c r="AN30" s="66"/>
      <c r="AO30" s="66"/>
      <c r="AP30" s="66"/>
      <c r="AQ30" s="66"/>
      <c r="AR30" s="66"/>
      <c r="AS30" s="34">
        <v>0</v>
      </c>
    </row>
    <row r="31" spans="1:45" s="34" customFormat="1" ht="18.75" hidden="1" customHeight="1">
      <c r="A31" s="79"/>
      <c r="B31" s="79"/>
      <c r="C31" s="79"/>
      <c r="D31" s="79"/>
      <c r="E31" s="79"/>
      <c r="F31" s="79"/>
      <c r="G31" s="79"/>
      <c r="H31" s="79"/>
      <c r="I31" s="79"/>
      <c r="J31" s="79"/>
      <c r="K31" s="79"/>
      <c r="L31" s="767"/>
      <c r="M31" s="79"/>
      <c r="N31" s="79"/>
      <c r="O31" s="79"/>
      <c r="S31" s="1274" t="s">
        <v>422</v>
      </c>
      <c r="T31" s="1274"/>
      <c r="U31" s="770"/>
      <c r="V31" s="1276" t="str">
        <f>IF(TITLE_NUMBER_PR_CHANGE="",IF(TITLE_NUMBER_PR="","",TITLE_NUMBER_PR),TITLE_NUMBER_PR_CHANGE)</f>
        <v>2496</v>
      </c>
      <c r="W31" s="1276"/>
      <c r="X31" s="1276"/>
      <c r="Y31" s="1276"/>
      <c r="Z31" s="1276"/>
      <c r="AA31" s="1276"/>
      <c r="AB31" s="1276"/>
      <c r="AC31" s="10"/>
      <c r="AD31" s="1276" t="str">
        <f>IF(TITLE_NUMBER_PR_CHANGE="",IF(TITLE_NUMBER_PR="","",TITLE_NUMBER_PR),TITLE_NUMBER_PR_CHANGE)</f>
        <v>2496</v>
      </c>
      <c r="AE31" s="1276"/>
      <c r="AF31" s="1276"/>
      <c r="AG31" s="1276"/>
      <c r="AH31" s="1276"/>
      <c r="AI31" s="1276"/>
      <c r="AJ31" s="1276"/>
      <c r="AK31" s="10"/>
      <c r="AL31" s="10"/>
      <c r="AM31" s="160"/>
      <c r="AN31" s="66"/>
      <c r="AO31" s="66"/>
      <c r="AP31" s="66"/>
      <c r="AQ31" s="66"/>
      <c r="AR31" s="66"/>
      <c r="AS31" s="34">
        <v>0</v>
      </c>
    </row>
    <row r="32" spans="1:45" s="34" customFormat="1" ht="18.75" hidden="1" customHeight="1">
      <c r="A32" s="79"/>
      <c r="B32" s="79"/>
      <c r="C32" s="79"/>
      <c r="D32" s="79"/>
      <c r="E32" s="79"/>
      <c r="F32" s="79"/>
      <c r="G32" s="79"/>
      <c r="H32" s="79"/>
      <c r="I32" s="79"/>
      <c r="J32" s="79"/>
      <c r="K32" s="79"/>
      <c r="L32" s="767"/>
      <c r="M32" s="79"/>
      <c r="N32" s="79"/>
      <c r="O32" s="79"/>
      <c r="S32" s="1274" t="s">
        <v>42</v>
      </c>
      <c r="T32" s="1274"/>
      <c r="U32" s="770"/>
      <c r="V32" s="1276" t="str">
        <f>IF(TITLE_IST_PUB_CHANGE="",IF(TITLE_IST_PUB="","",TITLE_IST_PUB),TITLE_IST_PUB_CHANGE)</f>
        <v/>
      </c>
      <c r="W32" s="1276"/>
      <c r="X32" s="1276"/>
      <c r="Y32" s="1276"/>
      <c r="Z32" s="1276"/>
      <c r="AA32" s="1276"/>
      <c r="AB32" s="1276"/>
      <c r="AC32" s="10"/>
      <c r="AD32" s="1276" t="str">
        <f>IF(TITLE_IST_PUB_CHANGE="",IF(TITLE_IST_PUB="","",TITLE_IST_PUB),TITLE_IST_PUB_CHANGE)</f>
        <v/>
      </c>
      <c r="AE32" s="1276"/>
      <c r="AF32" s="1276"/>
      <c r="AG32" s="1276"/>
      <c r="AH32" s="1276"/>
      <c r="AI32" s="1276"/>
      <c r="AJ32" s="1276"/>
      <c r="AK32" s="10"/>
      <c r="AL32" s="10"/>
      <c r="AM32" s="160"/>
      <c r="AN32" s="66"/>
      <c r="AO32" s="66"/>
      <c r="AP32" s="66"/>
      <c r="AQ32" s="66"/>
      <c r="AR32" s="66"/>
      <c r="AS32" s="34">
        <v>0</v>
      </c>
    </row>
    <row r="33" spans="1:45" ht="14.25" customHeight="1">
      <c r="Q33" s="27"/>
      <c r="R33" s="27"/>
      <c r="S33" s="736"/>
      <c r="T33" s="9"/>
      <c r="U33" s="9"/>
      <c r="V33" s="186"/>
      <c r="W33" s="186"/>
      <c r="X33" s="186"/>
      <c r="Y33" s="186"/>
      <c r="Z33" s="186"/>
      <c r="AA33" s="186"/>
      <c r="AB33" s="186"/>
      <c r="AC33" s="186"/>
      <c r="AD33" s="186"/>
      <c r="AE33" s="186"/>
      <c r="AF33" s="186"/>
      <c r="AG33" s="186"/>
      <c r="AH33" s="186"/>
      <c r="AI33" s="186"/>
      <c r="AJ33" s="186"/>
      <c r="AK33" s="186"/>
      <c r="AS33" s="10">
        <v>0</v>
      </c>
    </row>
    <row r="34" spans="1:45" s="34" customFormat="1" ht="18.75" customHeight="1">
      <c r="A34" s="79"/>
      <c r="B34" s="79"/>
      <c r="C34" s="79"/>
      <c r="D34" s="79"/>
      <c r="E34" s="79"/>
      <c r="F34" s="79"/>
      <c r="G34" s="79"/>
      <c r="H34" s="79"/>
      <c r="I34" s="79"/>
      <c r="J34" s="79"/>
      <c r="K34" s="79"/>
      <c r="L34" s="767"/>
      <c r="M34" s="79"/>
      <c r="N34" s="79"/>
      <c r="O34" s="79"/>
      <c r="S34" s="1274" t="s">
        <v>423</v>
      </c>
      <c r="T34" s="1274"/>
      <c r="U34" s="770"/>
      <c r="V34" s="1275">
        <f>IF(TITLE_DATE_PR_CHANGE="",IF(TITLE_DATE_PR="","",TITLE_DATE_PR),TITLE_DATE_PR_CHANGE)</f>
        <v>45805</v>
      </c>
      <c r="W34" s="1275"/>
      <c r="X34" s="1275"/>
      <c r="Y34" s="1275"/>
      <c r="Z34" s="1275"/>
      <c r="AA34" s="1275"/>
      <c r="AB34" s="1275"/>
      <c r="AC34" s="10"/>
      <c r="AD34" s="1275">
        <f>IF(TITLE_DATE_PR_CHANGE="",IF(TITLE_DATE_PR="","",TITLE_DATE_PR),TITLE_DATE_PR_CHANGE)</f>
        <v>45805</v>
      </c>
      <c r="AE34" s="1275"/>
      <c r="AF34" s="1275"/>
      <c r="AG34" s="1275"/>
      <c r="AH34" s="1275"/>
      <c r="AI34" s="1275"/>
      <c r="AJ34" s="1275"/>
      <c r="AK34" s="10"/>
      <c r="AL34" s="10"/>
      <c r="AM34" s="160"/>
      <c r="AN34" s="66"/>
      <c r="AO34" s="66"/>
      <c r="AP34" s="66"/>
      <c r="AQ34" s="66"/>
      <c r="AR34" s="66"/>
      <c r="AS34" s="34">
        <v>0</v>
      </c>
    </row>
    <row r="35" spans="1:45" s="34" customFormat="1" ht="18.75" customHeight="1">
      <c r="A35" s="79"/>
      <c r="B35" s="79"/>
      <c r="C35" s="79"/>
      <c r="D35" s="79"/>
      <c r="E35" s="79"/>
      <c r="F35" s="79"/>
      <c r="G35" s="79"/>
      <c r="H35" s="79"/>
      <c r="I35" s="79"/>
      <c r="J35" s="79"/>
      <c r="K35" s="79"/>
      <c r="L35" s="767"/>
      <c r="M35" s="79"/>
      <c r="N35" s="79"/>
      <c r="O35" s="79"/>
      <c r="S35" s="1274" t="s">
        <v>424</v>
      </c>
      <c r="T35" s="1274"/>
      <c r="U35" s="770"/>
      <c r="V35" s="1276" t="str">
        <f>IF(TITLE_NUMBER_PR_CHANGE="",IF(TITLE_NUMBER_PR="","",TITLE_NUMBER_PR),TITLE_NUMBER_PR_CHANGE)</f>
        <v>2496</v>
      </c>
      <c r="W35" s="1276"/>
      <c r="X35" s="1276"/>
      <c r="Y35" s="1276"/>
      <c r="Z35" s="1276"/>
      <c r="AA35" s="1276"/>
      <c r="AB35" s="1276"/>
      <c r="AC35" s="10"/>
      <c r="AD35" s="1276" t="str">
        <f>IF(TITLE_NUMBER_PR_CHANGE="",IF(TITLE_NUMBER_PR="","",TITLE_NUMBER_PR),TITLE_NUMBER_PR_CHANGE)</f>
        <v>2496</v>
      </c>
      <c r="AE35" s="1276"/>
      <c r="AF35" s="1276"/>
      <c r="AG35" s="1276"/>
      <c r="AH35" s="1276"/>
      <c r="AI35" s="1276"/>
      <c r="AJ35" s="1276"/>
      <c r="AK35" s="10"/>
      <c r="AL35" s="10"/>
      <c r="AM35" s="160"/>
      <c r="AN35" s="66"/>
      <c r="AO35" s="66"/>
      <c r="AP35" s="66"/>
      <c r="AQ35" s="66"/>
      <c r="AR35" s="66"/>
      <c r="AS35" s="34">
        <v>0</v>
      </c>
    </row>
    <row r="36" spans="1:45" s="34" customFormat="1" ht="0" hidden="1" customHeight="1">
      <c r="A36" s="79"/>
      <c r="B36" s="79"/>
      <c r="C36" s="79"/>
      <c r="D36" s="79"/>
      <c r="E36" s="79"/>
      <c r="F36" s="79"/>
      <c r="G36" s="79"/>
      <c r="H36" s="79"/>
      <c r="I36" s="79"/>
      <c r="J36" s="79"/>
      <c r="K36" s="79"/>
      <c r="L36" s="767"/>
      <c r="M36" s="79"/>
      <c r="N36" s="79"/>
      <c r="O36" s="79"/>
      <c r="S36" s="10"/>
      <c r="T36" s="10"/>
      <c r="U36" s="75"/>
      <c r="V36" s="10"/>
      <c r="W36" s="10"/>
      <c r="X36" s="10"/>
      <c r="Y36" s="10"/>
      <c r="Z36" s="10"/>
      <c r="AA36" s="10"/>
      <c r="AB36" s="10"/>
      <c r="AC36" s="65" t="s">
        <v>425</v>
      </c>
      <c r="AD36" s="10"/>
      <c r="AE36" s="10"/>
      <c r="AF36" s="10"/>
      <c r="AG36" s="10"/>
      <c r="AH36" s="10"/>
      <c r="AI36" s="10"/>
      <c r="AJ36" s="10"/>
      <c r="AK36" s="65" t="s">
        <v>425</v>
      </c>
      <c r="AN36" s="66"/>
      <c r="AO36" s="66"/>
      <c r="AP36" s="66"/>
      <c r="AQ36" s="66"/>
      <c r="AR36" s="66"/>
      <c r="AS36" s="34">
        <v>0</v>
      </c>
    </row>
    <row r="37" spans="1:45" ht="14.65" customHeight="1">
      <c r="Q37" s="27"/>
      <c r="R37" s="27"/>
      <c r="S37" s="736"/>
      <c r="T37" s="9"/>
      <c r="U37" s="717"/>
      <c r="V37" s="1295"/>
      <c r="W37" s="1295"/>
      <c r="X37" s="1295"/>
      <c r="Y37" s="1295"/>
      <c r="Z37" s="1295"/>
      <c r="AA37" s="1295"/>
      <c r="AB37" s="1295"/>
      <c r="AC37" s="1295"/>
      <c r="AD37" s="1295"/>
      <c r="AE37" s="1295"/>
      <c r="AF37" s="1295"/>
      <c r="AG37" s="1295"/>
      <c r="AH37" s="1295"/>
      <c r="AI37" s="1295"/>
      <c r="AJ37" s="1295"/>
      <c r="AK37" s="1295"/>
      <c r="AS37" s="10">
        <v>14</v>
      </c>
    </row>
    <row r="38" spans="1:45" ht="14.65" customHeight="1">
      <c r="Q38" s="27"/>
      <c r="R38" s="27"/>
      <c r="S38" s="1146" t="s">
        <v>300</v>
      </c>
      <c r="T38" s="1146"/>
      <c r="U38" s="1146"/>
      <c r="V38" s="1146"/>
      <c r="W38" s="1146"/>
      <c r="X38" s="1146"/>
      <c r="Y38" s="1146"/>
      <c r="Z38" s="1146"/>
      <c r="AA38" s="1146"/>
      <c r="AB38" s="1146"/>
      <c r="AC38" s="1146"/>
      <c r="AD38" s="1146"/>
      <c r="AE38" s="1146"/>
      <c r="AF38" s="1146"/>
      <c r="AG38" s="1146"/>
      <c r="AH38" s="1146"/>
      <c r="AI38" s="1146"/>
      <c r="AJ38" s="1146"/>
      <c r="AK38" s="1146"/>
      <c r="AL38" s="1146"/>
      <c r="AM38" s="1146" t="s">
        <v>301</v>
      </c>
      <c r="AS38" s="10">
        <v>14</v>
      </c>
    </row>
    <row r="39" spans="1:45" ht="14.65" customHeight="1">
      <c r="Q39" s="27"/>
      <c r="R39" s="27"/>
      <c r="S39" s="1296" t="s">
        <v>86</v>
      </c>
      <c r="T39" s="1244" t="s">
        <v>426</v>
      </c>
      <c r="U39" s="169"/>
      <c r="V39" s="1297" t="s">
        <v>427</v>
      </c>
      <c r="W39" s="1298"/>
      <c r="X39" s="1298"/>
      <c r="Y39" s="1298"/>
      <c r="Z39" s="1298"/>
      <c r="AA39" s="1298"/>
      <c r="AB39" s="1299"/>
      <c r="AC39" s="1300" t="s">
        <v>428</v>
      </c>
      <c r="AD39" s="1297" t="s">
        <v>427</v>
      </c>
      <c r="AE39" s="1298"/>
      <c r="AF39" s="1298"/>
      <c r="AG39" s="1298"/>
      <c r="AH39" s="1298"/>
      <c r="AI39" s="1298"/>
      <c r="AJ39" s="1299"/>
      <c r="AK39" s="1300" t="s">
        <v>429</v>
      </c>
      <c r="AL39" s="1303" t="s">
        <v>430</v>
      </c>
      <c r="AM39" s="1146"/>
      <c r="AS39" s="10">
        <v>14</v>
      </c>
    </row>
    <row r="40" spans="1:45" ht="35.65" customHeight="1">
      <c r="Q40" s="27"/>
      <c r="R40" s="27"/>
      <c r="S40" s="1296"/>
      <c r="T40" s="1244"/>
      <c r="U40" s="604"/>
      <c r="V40" s="1216" t="s">
        <v>431</v>
      </c>
      <c r="W40" s="1292"/>
      <c r="X40" s="1128" t="s">
        <v>433</v>
      </c>
      <c r="Y40" s="1127"/>
      <c r="Z40" s="1128" t="s">
        <v>434</v>
      </c>
      <c r="AA40" s="1133"/>
      <c r="AB40" s="1127"/>
      <c r="AC40" s="1301"/>
      <c r="AD40" s="1216" t="s">
        <v>447</v>
      </c>
      <c r="AE40" s="1292"/>
      <c r="AF40" s="1128" t="s">
        <v>433</v>
      </c>
      <c r="AG40" s="1127"/>
      <c r="AH40" s="1128" t="s">
        <v>434</v>
      </c>
      <c r="AI40" s="1133"/>
      <c r="AJ40" s="1127"/>
      <c r="AK40" s="1301"/>
      <c r="AL40" s="1304"/>
      <c r="AM40" s="1146"/>
      <c r="AS40" s="10">
        <v>34</v>
      </c>
    </row>
    <row r="41" spans="1:45" ht="35.65" customHeight="1">
      <c r="A41" s="79"/>
      <c r="B41" s="79" t="s">
        <v>133</v>
      </c>
      <c r="C41" s="79" t="s">
        <v>134</v>
      </c>
      <c r="D41" s="79" t="s">
        <v>135</v>
      </c>
      <c r="E41" s="767" t="s">
        <v>435</v>
      </c>
      <c r="F41" s="767" t="s">
        <v>436</v>
      </c>
      <c r="G41" s="767" t="s">
        <v>437</v>
      </c>
      <c r="H41" s="767" t="s">
        <v>438</v>
      </c>
      <c r="I41" s="767" t="s">
        <v>439</v>
      </c>
      <c r="J41" s="767" t="s">
        <v>440</v>
      </c>
      <c r="K41" s="767" t="s">
        <v>441</v>
      </c>
      <c r="L41" s="767" t="s">
        <v>416</v>
      </c>
      <c r="Q41" s="27"/>
      <c r="R41" s="27"/>
      <c r="S41" s="1296"/>
      <c r="T41" s="1244"/>
      <c r="U41" s="170"/>
      <c r="V41" s="1269"/>
      <c r="W41" s="1293"/>
      <c r="X41" s="38" t="s">
        <v>442</v>
      </c>
      <c r="Y41" s="38" t="s">
        <v>443</v>
      </c>
      <c r="Z41" s="38" t="s">
        <v>444</v>
      </c>
      <c r="AA41" s="1249" t="s">
        <v>445</v>
      </c>
      <c r="AB41" s="1263"/>
      <c r="AC41" s="1302"/>
      <c r="AD41" s="1269"/>
      <c r="AE41" s="1293"/>
      <c r="AF41" s="38" t="s">
        <v>442</v>
      </c>
      <c r="AG41" s="38" t="s">
        <v>443</v>
      </c>
      <c r="AH41" s="38" t="s">
        <v>444</v>
      </c>
      <c r="AI41" s="1249" t="s">
        <v>445</v>
      </c>
      <c r="AJ41" s="1263"/>
      <c r="AK41" s="1302"/>
      <c r="AL41" s="1305"/>
      <c r="AM41" s="1146"/>
      <c r="AS41" s="10">
        <v>34</v>
      </c>
    </row>
    <row r="42" spans="1:45" s="200" customFormat="1" ht="11.25" hidden="1" customHeight="1">
      <c r="A42" s="79"/>
      <c r="B42" s="79"/>
      <c r="C42" s="79"/>
      <c r="D42" s="79"/>
      <c r="E42" s="79"/>
      <c r="F42" s="79"/>
      <c r="G42" s="79"/>
      <c r="H42" s="79"/>
      <c r="I42" s="79"/>
      <c r="J42" s="79"/>
      <c r="K42" s="79"/>
      <c r="L42" s="767"/>
      <c r="M42" s="503"/>
      <c r="N42" s="503"/>
      <c r="O42" s="503"/>
      <c r="P42" s="719"/>
      <c r="Q42" s="720"/>
      <c r="R42" s="722">
        <v>1</v>
      </c>
      <c r="S42" s="738" t="s">
        <v>107</v>
      </c>
      <c r="T42" s="723" t="s">
        <v>108</v>
      </c>
      <c r="U42" s="718" t="str">
        <f ca="1">OFFSET(U42,0,-1)</f>
        <v>2</v>
      </c>
      <c r="V42" s="724">
        <f ca="1">OFFSET(V42,0,-1)+1</f>
        <v>3</v>
      </c>
      <c r="W42" s="724"/>
      <c r="X42" s="724">
        <f ca="1">OFFSET(X42,0,-1)+1</f>
        <v>1</v>
      </c>
      <c r="Y42" s="724">
        <f ca="1">OFFSET(Y42,0,-1)+1</f>
        <v>2</v>
      </c>
      <c r="Z42" s="724">
        <f ca="1">OFFSET(Z42,0,-1)+1</f>
        <v>3</v>
      </c>
      <c r="AA42" s="1294">
        <f ca="1">OFFSET(AA42,0,-1)+1</f>
        <v>4</v>
      </c>
      <c r="AB42" s="1294"/>
      <c r="AC42" s="724">
        <f ca="1">OFFSET(AC42,0,-2)+1</f>
        <v>5</v>
      </c>
      <c r="AD42" s="724">
        <f ca="1">OFFSET(AD42,0,-1)+1</f>
        <v>6</v>
      </c>
      <c r="AE42" s="724"/>
      <c r="AF42" s="724">
        <f ca="1">OFFSET(AF42,0,-1)+1</f>
        <v>1</v>
      </c>
      <c r="AG42" s="724">
        <f ca="1">OFFSET(AG42,0,-1)+1</f>
        <v>2</v>
      </c>
      <c r="AH42" s="724">
        <f ca="1">OFFSET(AH42,0,-1)+1</f>
        <v>3</v>
      </c>
      <c r="AI42" s="1294">
        <f ca="1">OFFSET(AI42,0,-1)+1</f>
        <v>4</v>
      </c>
      <c r="AJ42" s="1294"/>
      <c r="AK42" s="724">
        <f ca="1">OFFSET(AK42,0,-2)+1</f>
        <v>5</v>
      </c>
      <c r="AL42" s="718">
        <f ca="1">OFFSET(AL42,0,-1)</f>
        <v>5</v>
      </c>
      <c r="AM42" s="724">
        <f ca="1">OFFSET(AM42,0,-1)+1</f>
        <v>6</v>
      </c>
      <c r="AN42" s="65"/>
      <c r="AO42" s="65"/>
      <c r="AP42" s="65"/>
      <c r="AQ42" s="65"/>
      <c r="AR42" s="65"/>
      <c r="AS42" s="200">
        <v>0</v>
      </c>
    </row>
    <row r="43" spans="1:45" ht="21.95" customHeight="1">
      <c r="A43" s="766" t="s">
        <v>166</v>
      </c>
      <c r="B43" s="766"/>
      <c r="C43" s="766"/>
      <c r="D43" s="766"/>
      <c r="E43" s="1283">
        <v>1</v>
      </c>
      <c r="F43" s="766"/>
      <c r="G43" s="766"/>
      <c r="H43" s="766"/>
      <c r="I43" s="766"/>
      <c r="J43" s="766"/>
      <c r="K43" s="766"/>
      <c r="L43" s="767"/>
      <c r="M43" s="423"/>
      <c r="N43" s="423"/>
      <c r="O43" s="423"/>
      <c r="Q43" s="33"/>
      <c r="R43" s="204"/>
      <c r="S43" s="706">
        <f>INDEX(PT_DIFFERENTIATION_NUM_NTAR,MATCH(A43,PT_DIFFERENTIATION_NTAR_ID,0))</f>
        <v>0</v>
      </c>
      <c r="T43" s="64" t="s">
        <v>121</v>
      </c>
      <c r="U43" s="168"/>
      <c r="V43" s="1277"/>
      <c r="W43" s="1278"/>
      <c r="X43" s="1278"/>
      <c r="Y43" s="1278"/>
      <c r="Z43" s="1278"/>
      <c r="AA43" s="1278"/>
      <c r="AB43" s="1278"/>
      <c r="AC43" s="1279"/>
      <c r="AD43" s="1277" t="str">
        <f>INDEX(PT_DIFFERENTIATION_NTAR,MATCH(A43,PT_DIFFERENTIATION_NTAR_ID,0))</f>
        <v/>
      </c>
      <c r="AE43" s="1278"/>
      <c r="AF43" s="1278"/>
      <c r="AG43" s="1278"/>
      <c r="AH43" s="1278"/>
      <c r="AI43" s="1278"/>
      <c r="AJ43" s="1278"/>
      <c r="AK43" s="1278"/>
      <c r="AL43" s="1279"/>
      <c r="AM43" s="72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66" t="s">
        <v>166</v>
      </c>
      <c r="B44" s="766" t="s">
        <v>167</v>
      </c>
      <c r="C44" s="766"/>
      <c r="D44" s="766"/>
      <c r="E44" s="1284"/>
      <c r="F44" s="1283">
        <v>1</v>
      </c>
      <c r="G44" s="766"/>
      <c r="H44" s="766"/>
      <c r="I44" s="766"/>
      <c r="J44" s="766"/>
      <c r="K44" s="766"/>
      <c r="L44" s="767"/>
      <c r="M44" s="423"/>
      <c r="N44" s="423"/>
      <c r="O44" s="423"/>
      <c r="P44" s="56"/>
      <c r="Q44" s="201"/>
      <c r="R44" s="202"/>
      <c r="S44" s="706" t="str">
        <f>INDEX(PT_DIFFERENTIATION_NUM_TER,MATCH(B44,PT_DIFFERENTIATION_TER_ID,0))</f>
        <v>.</v>
      </c>
      <c r="T44" s="174" t="s">
        <v>397</v>
      </c>
      <c r="U44" s="168"/>
      <c r="V44" s="1277"/>
      <c r="W44" s="1278"/>
      <c r="X44" s="1278"/>
      <c r="Y44" s="1278"/>
      <c r="Z44" s="1278"/>
      <c r="AA44" s="1278"/>
      <c r="AB44" s="1278"/>
      <c r="AC44" s="1279"/>
      <c r="AD44" s="1277" t="str">
        <f>INDEX(PT_DIFFERENTIATION_TER,MATCH(B44,PT_DIFFERENTIATION_TER_ID,0))</f>
        <v/>
      </c>
      <c r="AE44" s="1278"/>
      <c r="AF44" s="1278"/>
      <c r="AG44" s="1278"/>
      <c r="AH44" s="1278"/>
      <c r="AI44" s="1278"/>
      <c r="AJ44" s="1278"/>
      <c r="AK44" s="1278"/>
      <c r="AL44" s="1279"/>
      <c r="AM44" s="726" t="s">
        <v>398</v>
      </c>
      <c r="AO44" s="66"/>
      <c r="AP44" s="66" t="str">
        <f t="shared" si="1"/>
        <v>Территория действия тарифа</v>
      </c>
      <c r="AQ44" s="66"/>
      <c r="AR44" s="66"/>
      <c r="AS44" s="10">
        <v>21</v>
      </c>
    </row>
    <row r="45" spans="1:45" ht="24" customHeight="1">
      <c r="A45" s="766" t="s">
        <v>166</v>
      </c>
      <c r="B45" s="766" t="s">
        <v>167</v>
      </c>
      <c r="C45" s="766" t="s">
        <v>168</v>
      </c>
      <c r="D45" s="766"/>
      <c r="E45" s="1284"/>
      <c r="F45" s="1284"/>
      <c r="G45" s="1283">
        <v>1</v>
      </c>
      <c r="H45" s="766"/>
      <c r="I45" s="766"/>
      <c r="J45" s="766"/>
      <c r="K45" s="766"/>
      <c r="L45" s="767"/>
      <c r="M45" s="423"/>
      <c r="N45" s="423"/>
      <c r="O45" s="423"/>
      <c r="P45" s="203"/>
      <c r="Q45" s="201"/>
      <c r="R45" s="202"/>
      <c r="S45" s="706" t="str">
        <f>INDEX(PT_DIFFERENTIATION_NUM_CS,MATCH(C45,PT_DIFFERENTIATION_CS_ID,0))</f>
        <v>..</v>
      </c>
      <c r="T45" s="175" t="s">
        <v>399</v>
      </c>
      <c r="U45" s="168"/>
      <c r="V45" s="1277"/>
      <c r="W45" s="1278"/>
      <c r="X45" s="1278"/>
      <c r="Y45" s="1278"/>
      <c r="Z45" s="1278"/>
      <c r="AA45" s="1278"/>
      <c r="AB45" s="1278"/>
      <c r="AC45" s="1279"/>
      <c r="AD45" s="1277" t="str">
        <f>INDEX(PT_DIFFERENTIATION_CS,MATCH(C45,PT_DIFFERENTIATION_CS_ID,0))</f>
        <v/>
      </c>
      <c r="AE45" s="1278"/>
      <c r="AF45" s="1278"/>
      <c r="AG45" s="1278"/>
      <c r="AH45" s="1278"/>
      <c r="AI45" s="1278"/>
      <c r="AJ45" s="1278"/>
      <c r="AK45" s="1278"/>
      <c r="AL45" s="1279"/>
      <c r="AM45" s="726" t="s">
        <v>400</v>
      </c>
      <c r="AO45" s="66"/>
      <c r="AP45" s="66" t="str">
        <f t="shared" si="1"/>
        <v xml:space="preserve">Наименование системы теплоснабжения </v>
      </c>
      <c r="AQ45" s="66"/>
      <c r="AR45" s="66"/>
      <c r="AS45" s="10">
        <v>23</v>
      </c>
    </row>
    <row r="46" spans="1:45" ht="21.95" customHeight="1">
      <c r="A46" s="766" t="s">
        <v>166</v>
      </c>
      <c r="B46" s="766" t="s">
        <v>167</v>
      </c>
      <c r="C46" s="766" t="s">
        <v>168</v>
      </c>
      <c r="D46" s="766" t="s">
        <v>169</v>
      </c>
      <c r="E46" s="1284"/>
      <c r="F46" s="1284"/>
      <c r="G46" s="1284"/>
      <c r="H46" s="1283">
        <v>1</v>
      </c>
      <c r="I46" s="766"/>
      <c r="J46" s="766"/>
      <c r="K46" s="766"/>
      <c r="L46" s="767"/>
      <c r="M46" s="423"/>
      <c r="N46" s="423"/>
      <c r="O46" s="423"/>
      <c r="P46" s="203"/>
      <c r="Q46" s="201"/>
      <c r="R46" s="202"/>
      <c r="S46" s="706" t="str">
        <f>INDEX(PT_DIFFERENTIATION_NUM_IST_TE,MATCH(D46,PT_DIFFERENTIATION_IST_TE_ID,0))</f>
        <v>...</v>
      </c>
      <c r="T46" s="176" t="s">
        <v>401</v>
      </c>
      <c r="U46" s="168"/>
      <c r="V46" s="1277"/>
      <c r="W46" s="1278"/>
      <c r="X46" s="1278"/>
      <c r="Y46" s="1278"/>
      <c r="Z46" s="1278"/>
      <c r="AA46" s="1278"/>
      <c r="AB46" s="1278"/>
      <c r="AC46" s="1279"/>
      <c r="AD46" s="1277" t="str">
        <f>INDEX(PT_DIFFERENTIATION_IST_TE,MATCH(D46,PT_DIFFERENTIATION_IST_TE_ID,0))</f>
        <v/>
      </c>
      <c r="AE46" s="1278"/>
      <c r="AF46" s="1278"/>
      <c r="AG46" s="1278"/>
      <c r="AH46" s="1278"/>
      <c r="AI46" s="1278"/>
      <c r="AJ46" s="1278"/>
      <c r="AK46" s="1278"/>
      <c r="AL46" s="1279"/>
      <c r="AM46" s="726" t="s">
        <v>402</v>
      </c>
      <c r="AO46" s="66"/>
      <c r="AP46" s="66" t="str">
        <f t="shared" si="1"/>
        <v xml:space="preserve">Источник тепловой энергии  </v>
      </c>
      <c r="AQ46" s="66"/>
      <c r="AR46" s="66"/>
      <c r="AS46" s="10">
        <v>21</v>
      </c>
    </row>
    <row r="47" spans="1:45" s="65" customFormat="1" ht="0" hidden="1" customHeight="1">
      <c r="A47" s="142" t="s">
        <v>166</v>
      </c>
      <c r="B47" s="142" t="s">
        <v>167</v>
      </c>
      <c r="C47" s="142" t="s">
        <v>168</v>
      </c>
      <c r="D47" s="142" t="s">
        <v>169</v>
      </c>
      <c r="E47" s="1284"/>
      <c r="F47" s="1284"/>
      <c r="G47" s="1284"/>
      <c r="H47" s="1284"/>
      <c r="I47" s="1285" t="str">
        <f>S46&amp;".1"</f>
        <v>....1</v>
      </c>
      <c r="J47" s="142"/>
      <c r="K47" s="142"/>
      <c r="L47" s="343" t="s">
        <v>403</v>
      </c>
      <c r="M47" s="287"/>
      <c r="N47" s="287"/>
      <c r="O47" s="287"/>
      <c r="P47" s="1287">
        <v>1</v>
      </c>
      <c r="Q47" s="119"/>
      <c r="R47" s="205"/>
      <c r="S47" s="359"/>
      <c r="T47" s="776"/>
      <c r="U47" s="777"/>
      <c r="V47" s="1314"/>
      <c r="W47" s="1315"/>
      <c r="X47" s="1315"/>
      <c r="Y47" s="1315"/>
      <c r="Z47" s="1315"/>
      <c r="AA47" s="1315"/>
      <c r="AB47" s="1315"/>
      <c r="AC47" s="1316"/>
      <c r="AD47" s="1314"/>
      <c r="AE47" s="1315"/>
      <c r="AF47" s="1315"/>
      <c r="AG47" s="1315"/>
      <c r="AH47" s="1315"/>
      <c r="AI47" s="1315"/>
      <c r="AJ47" s="1315"/>
      <c r="AK47" s="1315"/>
      <c r="AL47" s="1316"/>
      <c r="AM47" s="778"/>
      <c r="AO47" s="66"/>
      <c r="AP47" s="66" t="str">
        <f t="shared" si="1"/>
        <v/>
      </c>
      <c r="AQ47" s="66"/>
      <c r="AR47" s="66"/>
      <c r="AS47" s="65">
        <v>0</v>
      </c>
    </row>
    <row r="48" spans="1:45" ht="21.95" customHeight="1">
      <c r="A48" s="766" t="s">
        <v>166</v>
      </c>
      <c r="B48" s="766" t="s">
        <v>167</v>
      </c>
      <c r="C48" s="766" t="s">
        <v>168</v>
      </c>
      <c r="D48" s="766" t="s">
        <v>169</v>
      </c>
      <c r="E48" s="1284"/>
      <c r="F48" s="1284"/>
      <c r="G48" s="1284"/>
      <c r="H48" s="1284"/>
      <c r="I48" s="1286"/>
      <c r="J48" s="1285" t="str">
        <f>S46&amp;".1"</f>
        <v>....1</v>
      </c>
      <c r="K48" s="766"/>
      <c r="L48" s="767" t="s">
        <v>406</v>
      </c>
      <c r="P48" s="1287"/>
      <c r="Q48" s="1287">
        <v>1</v>
      </c>
      <c r="R48" s="206"/>
      <c r="S48" s="706" t="str">
        <f>$J48</f>
        <v>....1</v>
      </c>
      <c r="T48" s="162" t="s">
        <v>407</v>
      </c>
      <c r="U48" s="168"/>
      <c r="V48" s="1271"/>
      <c r="W48" s="1272"/>
      <c r="X48" s="1272"/>
      <c r="Y48" s="1272"/>
      <c r="Z48" s="1272"/>
      <c r="AA48" s="1272"/>
      <c r="AB48" s="1272"/>
      <c r="AC48" s="1273"/>
      <c r="AD48" s="1271"/>
      <c r="AE48" s="1272"/>
      <c r="AF48" s="1272"/>
      <c r="AG48" s="1272"/>
      <c r="AH48" s="1272"/>
      <c r="AI48" s="1272"/>
      <c r="AJ48" s="1272"/>
      <c r="AK48" s="1272"/>
      <c r="AL48" s="1273"/>
      <c r="AM48" s="726" t="s">
        <v>408</v>
      </c>
      <c r="AO48" s="66"/>
      <c r="AP48" s="66" t="str">
        <f t="shared" si="1"/>
        <v>Группа потребителей</v>
      </c>
      <c r="AQ48" s="66"/>
      <c r="AR48" s="66"/>
      <c r="AS48" s="10">
        <v>21</v>
      </c>
    </row>
    <row r="49" spans="1:45" ht="21.95" customHeight="1">
      <c r="A49" s="766" t="s">
        <v>166</v>
      </c>
      <c r="B49" s="766" t="s">
        <v>167</v>
      </c>
      <c r="C49" s="766" t="s">
        <v>168</v>
      </c>
      <c r="D49" s="766" t="s">
        <v>169</v>
      </c>
      <c r="E49" s="1284"/>
      <c r="F49" s="1284"/>
      <c r="G49" s="1284"/>
      <c r="H49" s="1284"/>
      <c r="I49" s="1286"/>
      <c r="J49" s="1286"/>
      <c r="K49" s="1285" t="str">
        <f>J48&amp;".1"</f>
        <v>....1.1</v>
      </c>
      <c r="L49" s="767" t="s">
        <v>409</v>
      </c>
      <c r="P49" s="1287"/>
      <c r="Q49" s="1287"/>
      <c r="R49" s="206">
        <v>1</v>
      </c>
      <c r="S49" s="706" t="str">
        <f>$K49</f>
        <v>....1.1</v>
      </c>
      <c r="T49" s="762"/>
      <c r="U49" s="168"/>
      <c r="V49" s="303"/>
      <c r="W49" s="188"/>
      <c r="X49" s="303"/>
      <c r="Y49" s="725"/>
      <c r="Z49" s="1288"/>
      <c r="AA49" s="1156" t="s">
        <v>64</v>
      </c>
      <c r="AB49" s="1288"/>
      <c r="AC49" s="1156" t="s">
        <v>64</v>
      </c>
      <c r="AD49" s="303"/>
      <c r="AE49" s="188"/>
      <c r="AF49" s="303"/>
      <c r="AG49" s="725"/>
      <c r="AH49" s="1288"/>
      <c r="AI49" s="1156" t="s">
        <v>64</v>
      </c>
      <c r="AJ49" s="1290"/>
      <c r="AK49" s="1156" t="s">
        <v>64</v>
      </c>
      <c r="AL49" s="763"/>
      <c r="AM49" s="1306" t="s">
        <v>448</v>
      </c>
      <c r="AN49" s="65" t="e">
        <f ca="1">STRCHECKDATE(V50:AL50)</f>
        <v>#NAME?</v>
      </c>
      <c r="AO49" s="66"/>
      <c r="AP49" s="66" t="str">
        <f t="shared" si="1"/>
        <v/>
      </c>
      <c r="AQ49" s="66"/>
      <c r="AR49" s="66"/>
      <c r="AS49" s="10">
        <v>21</v>
      </c>
    </row>
    <row r="50" spans="1:45" ht="1.1499999999999999" customHeight="1">
      <c r="A50" s="766" t="s">
        <v>166</v>
      </c>
      <c r="B50" s="766" t="s">
        <v>167</v>
      </c>
      <c r="C50" s="766" t="s">
        <v>168</v>
      </c>
      <c r="D50" s="766" t="s">
        <v>169</v>
      </c>
      <c r="E50" s="1284"/>
      <c r="F50" s="1284"/>
      <c r="G50" s="1284"/>
      <c r="H50" s="1284"/>
      <c r="I50" s="1286"/>
      <c r="J50" s="1286"/>
      <c r="K50" s="1285"/>
      <c r="L50" s="767"/>
      <c r="P50" s="1287"/>
      <c r="Q50" s="1287"/>
      <c r="R50" s="206"/>
      <c r="S50" s="62"/>
      <c r="T50" s="168"/>
      <c r="U50" s="168"/>
      <c r="V50" s="188"/>
      <c r="W50" s="188"/>
      <c r="X50" s="188"/>
      <c r="Y50" s="189" t="str">
        <f>Z49&amp;"-"&amp;AB49</f>
        <v>-</v>
      </c>
      <c r="Z50" s="1289"/>
      <c r="AA50" s="1156"/>
      <c r="AB50" s="1289"/>
      <c r="AC50" s="1156"/>
      <c r="AD50" s="188"/>
      <c r="AE50" s="188"/>
      <c r="AF50" s="188"/>
      <c r="AG50" s="189" t="str">
        <f>AH49&amp;"-"&amp;AJ49</f>
        <v>-</v>
      </c>
      <c r="AH50" s="1289"/>
      <c r="AI50" s="1156"/>
      <c r="AJ50" s="1291"/>
      <c r="AK50" s="1156"/>
      <c r="AL50" s="764"/>
      <c r="AM50" s="1307"/>
      <c r="AO50" s="66"/>
      <c r="AP50" s="66" t="str">
        <f t="shared" si="1"/>
        <v/>
      </c>
      <c r="AQ50" s="66"/>
      <c r="AR50" s="66"/>
      <c r="AS50" s="10">
        <v>1</v>
      </c>
    </row>
    <row r="51" spans="1:45" ht="11.45" customHeight="1">
      <c r="A51" s="766" t="s">
        <v>166</v>
      </c>
      <c r="B51" s="766" t="s">
        <v>167</v>
      </c>
      <c r="C51" s="766" t="s">
        <v>168</v>
      </c>
      <c r="D51" s="766" t="s">
        <v>169</v>
      </c>
      <c r="E51" s="1284"/>
      <c r="F51" s="1284"/>
      <c r="G51" s="1284"/>
      <c r="H51" s="1284"/>
      <c r="I51" s="1286"/>
      <c r="J51" s="1285"/>
      <c r="K51" s="766"/>
      <c r="L51" s="767"/>
      <c r="P51" s="1287"/>
      <c r="Q51" s="1287"/>
      <c r="R51" s="205"/>
      <c r="S51" s="739"/>
      <c r="T51" s="163" t="s">
        <v>411</v>
      </c>
      <c r="U51" s="210"/>
      <c r="V51" s="210"/>
      <c r="W51" s="210"/>
      <c r="X51" s="210"/>
      <c r="Y51" s="210"/>
      <c r="Z51" s="210"/>
      <c r="AA51" s="210"/>
      <c r="AB51" s="210"/>
      <c r="AC51" s="210"/>
      <c r="AD51" s="210"/>
      <c r="AE51" s="210"/>
      <c r="AF51" s="210"/>
      <c r="AG51" s="210"/>
      <c r="AH51" s="210"/>
      <c r="AI51" s="210"/>
      <c r="AJ51" s="210"/>
      <c r="AK51" s="210"/>
      <c r="AL51" s="187"/>
      <c r="AM51" s="1308"/>
      <c r="AO51" s="66"/>
      <c r="AP51" s="66" t="str">
        <f t="shared" si="1"/>
        <v>Добавить вид теплоносителя (параметры теплоносителя)</v>
      </c>
      <c r="AQ51" s="66"/>
      <c r="AR51" s="66"/>
      <c r="AS51" s="10">
        <v>11</v>
      </c>
    </row>
    <row r="52" spans="1:45" ht="11.45" customHeight="1">
      <c r="A52" s="766" t="s">
        <v>166</v>
      </c>
      <c r="B52" s="766" t="s">
        <v>167</v>
      </c>
      <c r="C52" s="766" t="s">
        <v>168</v>
      </c>
      <c r="D52" s="766" t="s">
        <v>169</v>
      </c>
      <c r="E52" s="1284"/>
      <c r="F52" s="1284"/>
      <c r="G52" s="1284"/>
      <c r="H52" s="1284"/>
      <c r="I52" s="1285"/>
      <c r="J52" s="766"/>
      <c r="K52" s="766"/>
      <c r="L52" s="767"/>
      <c r="P52" s="1287"/>
      <c r="Q52" s="119"/>
      <c r="R52" s="205"/>
      <c r="S52" s="739"/>
      <c r="T52" s="208" t="s">
        <v>412</v>
      </c>
      <c r="U52" s="210"/>
      <c r="V52" s="210"/>
      <c r="W52" s="210"/>
      <c r="X52" s="210"/>
      <c r="Y52" s="210"/>
      <c r="Z52" s="210"/>
      <c r="AA52" s="210"/>
      <c r="AB52" s="210"/>
      <c r="AC52" s="209"/>
      <c r="AD52" s="210"/>
      <c r="AE52" s="210"/>
      <c r="AF52" s="210"/>
      <c r="AG52" s="210"/>
      <c r="AH52" s="210"/>
      <c r="AI52" s="210"/>
      <c r="AJ52" s="210"/>
      <c r="AK52" s="209"/>
      <c r="AL52" s="210"/>
      <c r="AM52" s="171"/>
      <c r="AO52" s="66"/>
      <c r="AP52" s="66" t="str">
        <f t="shared" si="1"/>
        <v>Добавить группу потребителей</v>
      </c>
      <c r="AQ52" s="66"/>
      <c r="AR52" s="66"/>
      <c r="AS52" s="10">
        <v>11</v>
      </c>
    </row>
    <row r="53" spans="1:45" ht="0" hidden="1" customHeight="1">
      <c r="A53" s="766" t="s">
        <v>166</v>
      </c>
      <c r="B53" s="766" t="s">
        <v>167</v>
      </c>
      <c r="C53" s="766" t="s">
        <v>168</v>
      </c>
      <c r="D53" s="766" t="s">
        <v>169</v>
      </c>
      <c r="E53" s="1284"/>
      <c r="F53" s="1284"/>
      <c r="G53" s="1284"/>
      <c r="H53" s="1283"/>
      <c r="I53" s="766"/>
      <c r="J53" s="766"/>
      <c r="K53" s="766"/>
      <c r="L53" s="767"/>
      <c r="M53" s="423"/>
      <c r="N53" s="423"/>
      <c r="O53" s="60"/>
      <c r="P53" s="33"/>
      <c r="Q53" s="213"/>
      <c r="R53" s="204"/>
      <c r="S53" s="779"/>
      <c r="T53" s="780"/>
      <c r="U53" s="781"/>
      <c r="V53" s="781"/>
      <c r="W53" s="781"/>
      <c r="X53" s="781"/>
      <c r="Y53" s="781"/>
      <c r="Z53" s="781"/>
      <c r="AA53" s="781"/>
      <c r="AB53" s="781"/>
      <c r="AC53" s="781"/>
      <c r="AD53" s="781"/>
      <c r="AE53" s="781"/>
      <c r="AF53" s="781"/>
      <c r="AG53" s="781"/>
      <c r="AH53" s="781"/>
      <c r="AI53" s="781"/>
      <c r="AJ53" s="781"/>
      <c r="AK53" s="781"/>
      <c r="AL53" s="781"/>
      <c r="AM53" s="782"/>
      <c r="AO53" s="66"/>
      <c r="AP53" s="66" t="str">
        <f t="shared" si="1"/>
        <v/>
      </c>
      <c r="AQ53" s="66"/>
      <c r="AR53" s="66"/>
      <c r="AS53" s="10">
        <v>0</v>
      </c>
    </row>
    <row r="54" spans="1:45" s="65" customFormat="1" ht="1.1499999999999999" customHeight="1">
      <c r="A54" s="142" t="s">
        <v>166</v>
      </c>
      <c r="B54" s="142" t="s">
        <v>167</v>
      </c>
      <c r="C54" s="142" t="s">
        <v>168</v>
      </c>
      <c r="D54" s="142"/>
      <c r="E54" s="1284"/>
      <c r="F54" s="1284"/>
      <c r="G54" s="1283"/>
      <c r="H54" s="142"/>
      <c r="I54" s="142"/>
      <c r="J54" s="142"/>
      <c r="K54" s="142"/>
      <c r="L54" s="343"/>
      <c r="M54" s="290"/>
      <c r="N54" s="290"/>
      <c r="P54" s="101"/>
      <c r="Q54" s="752"/>
      <c r="R54" s="101"/>
      <c r="S54" s="757"/>
      <c r="T54" s="759" t="s">
        <v>414</v>
      </c>
      <c r="U54" s="310"/>
      <c r="V54" s="310"/>
      <c r="W54" s="310"/>
      <c r="X54" s="310"/>
      <c r="Y54" s="310"/>
      <c r="Z54" s="310"/>
      <c r="AA54" s="310"/>
      <c r="AB54" s="310"/>
      <c r="AC54" s="310"/>
      <c r="AD54" s="310"/>
      <c r="AE54" s="310"/>
      <c r="AF54" s="310"/>
      <c r="AG54" s="310"/>
      <c r="AH54" s="310"/>
      <c r="AI54" s="310"/>
      <c r="AJ54" s="310"/>
      <c r="AK54" s="310"/>
      <c r="AL54" s="310"/>
      <c r="AM54" s="310"/>
      <c r="AO54" s="66"/>
      <c r="AP54" s="66" t="str">
        <f t="shared" si="1"/>
        <v>Добавить источник для дифференциации</v>
      </c>
      <c r="AQ54" s="66"/>
      <c r="AR54" s="66"/>
      <c r="AS54" s="65">
        <v>1</v>
      </c>
    </row>
    <row r="55" spans="1:45" s="65" customFormat="1" ht="1.1499999999999999" customHeight="1">
      <c r="A55" s="142" t="s">
        <v>166</v>
      </c>
      <c r="B55" s="142" t="s">
        <v>167</v>
      </c>
      <c r="C55" s="142"/>
      <c r="D55" s="142"/>
      <c r="E55" s="1284"/>
      <c r="F55" s="1283"/>
      <c r="G55" s="142"/>
      <c r="H55" s="142"/>
      <c r="I55" s="142"/>
      <c r="J55" s="142"/>
      <c r="K55" s="142"/>
      <c r="L55" s="343"/>
      <c r="M55" s="756"/>
      <c r="N55" s="756"/>
      <c r="P55" s="101"/>
      <c r="Q55" s="752"/>
      <c r="R55" s="101"/>
      <c r="S55" s="757"/>
      <c r="T55" s="759" t="s">
        <v>231</v>
      </c>
      <c r="U55" s="310"/>
      <c r="V55" s="310"/>
      <c r="W55" s="310"/>
      <c r="X55" s="310"/>
      <c r="Y55" s="310"/>
      <c r="Z55" s="310"/>
      <c r="AA55" s="310"/>
      <c r="AB55" s="310"/>
      <c r="AC55" s="310"/>
      <c r="AD55" s="310"/>
      <c r="AE55" s="310"/>
      <c r="AF55" s="310"/>
      <c r="AG55" s="310"/>
      <c r="AH55" s="310"/>
      <c r="AI55" s="310"/>
      <c r="AJ55" s="310"/>
      <c r="AK55" s="310"/>
      <c r="AL55" s="310"/>
      <c r="AM55" s="310"/>
      <c r="AO55" s="66"/>
      <c r="AP55" s="66" t="str">
        <f t="shared" si="1"/>
        <v>Добавить централизованную систему для дифференциации</v>
      </c>
      <c r="AQ55" s="66"/>
      <c r="AR55" s="66"/>
      <c r="AS55" s="65">
        <v>1</v>
      </c>
    </row>
    <row r="56" spans="1:45" s="65" customFormat="1" ht="1.1499999999999999" customHeight="1">
      <c r="A56" s="142" t="s">
        <v>166</v>
      </c>
      <c r="B56" s="142"/>
      <c r="C56" s="142"/>
      <c r="D56" s="142"/>
      <c r="E56" s="1283"/>
      <c r="F56" s="142"/>
      <c r="G56" s="142"/>
      <c r="H56" s="142"/>
      <c r="I56" s="142"/>
      <c r="J56" s="142"/>
      <c r="K56" s="142"/>
      <c r="L56" s="343"/>
      <c r="M56" s="756"/>
      <c r="N56" s="756"/>
      <c r="P56" s="101"/>
      <c r="Q56" s="752"/>
      <c r="R56" s="101"/>
      <c r="S56" s="757"/>
      <c r="T56" s="759" t="s">
        <v>232</v>
      </c>
      <c r="U56" s="310"/>
      <c r="V56" s="310"/>
      <c r="W56" s="310"/>
      <c r="X56" s="310"/>
      <c r="Y56" s="310"/>
      <c r="Z56" s="310"/>
      <c r="AA56" s="310"/>
      <c r="AB56" s="310"/>
      <c r="AC56" s="310"/>
      <c r="AD56" s="310"/>
      <c r="AE56" s="310"/>
      <c r="AF56" s="310"/>
      <c r="AG56" s="310"/>
      <c r="AH56" s="310"/>
      <c r="AI56" s="310"/>
      <c r="AJ56" s="310"/>
      <c r="AK56" s="310"/>
      <c r="AL56" s="310"/>
      <c r="AM56" s="310"/>
      <c r="AO56" s="66"/>
      <c r="AP56" s="66" t="str">
        <f t="shared" si="1"/>
        <v>Добавить территорию для дифференциации</v>
      </c>
      <c r="AQ56" s="66"/>
      <c r="AR56" s="66"/>
      <c r="AS56" s="65">
        <v>1</v>
      </c>
    </row>
    <row r="57" spans="1:45" s="65" customFormat="1" ht="1.1499999999999999" customHeight="1">
      <c r="A57" s="142"/>
      <c r="B57" s="142"/>
      <c r="C57" s="142"/>
      <c r="D57" s="142"/>
      <c r="E57" s="142"/>
      <c r="F57" s="142"/>
      <c r="G57" s="142"/>
      <c r="H57" s="142"/>
      <c r="I57" s="142"/>
      <c r="J57" s="142"/>
      <c r="K57" s="142"/>
      <c r="L57" s="343"/>
      <c r="M57" s="756"/>
      <c r="N57" s="756"/>
      <c r="P57" s="101"/>
      <c r="Q57" s="752"/>
      <c r="R57" s="101"/>
      <c r="S57" s="757"/>
      <c r="T57" s="759" t="s">
        <v>233</v>
      </c>
      <c r="U57" s="310"/>
      <c r="V57" s="310"/>
      <c r="W57" s="310"/>
      <c r="X57" s="310"/>
      <c r="Y57" s="310"/>
      <c r="Z57" s="310"/>
      <c r="AA57" s="310"/>
      <c r="AB57" s="310"/>
      <c r="AC57" s="310"/>
      <c r="AD57" s="310"/>
      <c r="AE57" s="310"/>
      <c r="AF57" s="310"/>
      <c r="AG57" s="310"/>
      <c r="AH57" s="310"/>
      <c r="AI57" s="310"/>
      <c r="AJ57" s="310"/>
      <c r="AK57" s="310"/>
      <c r="AL57" s="310"/>
      <c r="AM57" s="310"/>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19.899999999999999" customHeight="1">
      <c r="O59" s="60"/>
      <c r="S59" s="195"/>
      <c r="T59" s="1282"/>
      <c r="U59" s="1282"/>
      <c r="V59" s="1282"/>
      <c r="W59" s="1282"/>
      <c r="X59" s="1282"/>
      <c r="Y59" s="1282"/>
      <c r="Z59" s="1282"/>
      <c r="AA59" s="1282"/>
      <c r="AB59" s="1282"/>
      <c r="AC59" s="1282"/>
      <c r="AD59" s="1282"/>
      <c r="AE59" s="1282"/>
      <c r="AF59" s="1282"/>
      <c r="AG59" s="1282"/>
      <c r="AH59" s="1282"/>
      <c r="AI59" s="1282"/>
      <c r="AJ59" s="1282"/>
      <c r="AK59" s="1282"/>
      <c r="AL59" s="1282"/>
      <c r="AM59" s="1282"/>
      <c r="AS59" s="10">
        <v>19</v>
      </c>
    </row>
    <row r="60" spans="1:45" ht="29.25" customHeight="1">
      <c r="O60" s="60"/>
      <c r="T60" s="1282"/>
      <c r="U60" s="1282"/>
      <c r="V60" s="1282"/>
      <c r="W60" s="1282"/>
      <c r="X60" s="1282"/>
      <c r="Y60" s="1282"/>
      <c r="Z60" s="1282"/>
      <c r="AA60" s="1282"/>
      <c r="AB60" s="1282"/>
      <c r="AC60" s="1282"/>
      <c r="AD60" s="1282"/>
      <c r="AE60" s="1282"/>
      <c r="AF60" s="1282"/>
      <c r="AG60" s="1282"/>
      <c r="AH60" s="1282"/>
      <c r="AI60" s="1282"/>
      <c r="AJ60" s="1282"/>
      <c r="AK60" s="1282"/>
      <c r="AL60" s="1282"/>
      <c r="AM60" s="1282"/>
      <c r="AS60" s="10">
        <v>28</v>
      </c>
    </row>
    <row r="61" spans="1:45" ht="42" customHeight="1">
      <c r="O61" s="60"/>
      <c r="T61" s="1282"/>
      <c r="U61" s="1282"/>
      <c r="V61" s="1282"/>
      <c r="W61" s="1282"/>
      <c r="X61" s="1282"/>
      <c r="Y61" s="1282"/>
      <c r="Z61" s="1282"/>
      <c r="AA61" s="1282"/>
      <c r="AB61" s="1282"/>
      <c r="AC61" s="1282"/>
      <c r="AD61" s="1282"/>
      <c r="AE61" s="1282"/>
      <c r="AF61" s="1282"/>
      <c r="AG61" s="1282"/>
      <c r="AH61" s="1282"/>
      <c r="AI61" s="1282"/>
      <c r="AJ61" s="1282"/>
      <c r="AK61" s="1282"/>
      <c r="AL61" s="1282"/>
      <c r="AM61" s="1282"/>
      <c r="AS61" s="10">
        <v>40</v>
      </c>
    </row>
    <row r="62" spans="1:45" ht="14.65" customHeight="1">
      <c r="O62" s="60"/>
      <c r="AS62" s="10">
        <v>14</v>
      </c>
    </row>
    <row r="63" spans="1:45" ht="21" customHeight="1">
      <c r="O63" s="60"/>
      <c r="S63" s="195"/>
      <c r="T63" s="1186"/>
      <c r="U63" s="1282"/>
      <c r="V63" s="1282"/>
      <c r="W63" s="1282"/>
      <c r="X63" s="1282"/>
      <c r="Y63" s="1282"/>
      <c r="Z63" s="1282"/>
      <c r="AA63" s="1282"/>
      <c r="AB63" s="1282"/>
      <c r="AC63" s="1282"/>
      <c r="AD63" s="1282"/>
      <c r="AE63" s="1282"/>
      <c r="AF63" s="1282"/>
      <c r="AG63" s="1282"/>
      <c r="AH63" s="1282"/>
      <c r="AI63" s="1282"/>
      <c r="AJ63" s="1282"/>
      <c r="AK63" s="1282"/>
      <c r="AL63" s="1282"/>
      <c r="AM63" s="1282"/>
      <c r="AS63" s="10">
        <v>20</v>
      </c>
    </row>
    <row r="64" spans="1:45" ht="29.25" customHeight="1">
      <c r="O64" s="60"/>
      <c r="T64" s="1282"/>
      <c r="U64" s="1282"/>
      <c r="V64" s="1282"/>
      <c r="W64" s="1282"/>
      <c r="X64" s="1282"/>
      <c r="Y64" s="1282"/>
      <c r="Z64" s="1282"/>
      <c r="AA64" s="1282"/>
      <c r="AB64" s="1282"/>
      <c r="AC64" s="1282"/>
      <c r="AD64" s="1282"/>
      <c r="AE64" s="1282"/>
      <c r="AF64" s="1282"/>
      <c r="AG64" s="1282"/>
      <c r="AH64" s="1282"/>
      <c r="AI64" s="1282"/>
      <c r="AJ64" s="1282"/>
      <c r="AK64" s="1282"/>
      <c r="AL64" s="1282"/>
      <c r="AM64" s="1282"/>
      <c r="AS64" s="10">
        <v>28</v>
      </c>
    </row>
    <row r="65" spans="1:45" ht="35.65" customHeight="1">
      <c r="T65" s="1282"/>
      <c r="U65" s="1282"/>
      <c r="V65" s="1282"/>
      <c r="W65" s="1282"/>
      <c r="X65" s="1282"/>
      <c r="Y65" s="1282"/>
      <c r="Z65" s="1282"/>
      <c r="AA65" s="1282"/>
      <c r="AB65" s="1282"/>
      <c r="AC65" s="1282"/>
      <c r="AD65" s="1282"/>
      <c r="AE65" s="1282"/>
      <c r="AF65" s="1282"/>
      <c r="AG65" s="1282"/>
      <c r="AH65" s="1282"/>
      <c r="AI65" s="1282"/>
      <c r="AJ65" s="1282"/>
      <c r="AK65" s="1282"/>
      <c r="AL65" s="1282"/>
      <c r="AM65" s="1282"/>
      <c r="AS65" s="10">
        <v>34</v>
      </c>
    </row>
    <row r="66" spans="1:45" ht="22.5" hidden="1" customHeight="1">
      <c r="A66" s="60" t="s">
        <v>80</v>
      </c>
      <c r="B66" s="60">
        <v>0</v>
      </c>
      <c r="C66" s="60">
        <v>0</v>
      </c>
      <c r="D66" s="60">
        <v>0</v>
      </c>
      <c r="E66" s="60">
        <v>0</v>
      </c>
      <c r="F66" s="60">
        <v>0</v>
      </c>
      <c r="G66" s="60">
        <v>0</v>
      </c>
      <c r="H66" s="60">
        <v>0</v>
      </c>
      <c r="I66" s="60">
        <v>0</v>
      </c>
      <c r="J66" s="60">
        <v>0</v>
      </c>
      <c r="K66" s="60">
        <v>0</v>
      </c>
      <c r="L66" s="298">
        <v>0</v>
      </c>
      <c r="M66" s="503">
        <v>0</v>
      </c>
      <c r="N66" s="503">
        <v>0</v>
      </c>
      <c r="O66" s="503">
        <v>0</v>
      </c>
      <c r="P66" s="32">
        <v>0</v>
      </c>
      <c r="Q66" s="28">
        <v>3</v>
      </c>
      <c r="R66" s="28">
        <v>3</v>
      </c>
      <c r="S66" s="339">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5">
        <v>10</v>
      </c>
      <c r="AO66" s="65">
        <v>10</v>
      </c>
      <c r="AP66" s="65">
        <v>10</v>
      </c>
      <c r="AQ66" s="65">
        <v>10</v>
      </c>
      <c r="AR66" s="65">
        <v>10</v>
      </c>
      <c r="AS66" s="1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8" hidden="1" customWidth="1"/>
    <col min="13" max="14" width="12.28515625" style="503" hidden="1" customWidth="1"/>
    <col min="15" max="15" width="23.42578125" style="503" hidden="1" customWidth="1"/>
    <col min="16" max="16" width="3.7109375" style="32" hidden="1" customWidth="1"/>
    <col min="17" max="18" width="3" style="28" customWidth="1"/>
    <col min="19" max="19" width="12" style="339"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1" s="1010"/>
      <c r="AS1" s="10" t="s">
        <v>14</v>
      </c>
    </row>
    <row r="2" spans="1:45" ht="21" hidden="1" customHeight="1">
      <c r="A2" s="766"/>
      <c r="B2" s="766"/>
      <c r="C2" s="766"/>
      <c r="D2" s="766"/>
      <c r="E2" s="1283">
        <v>1</v>
      </c>
      <c r="F2" s="766"/>
      <c r="G2" s="766"/>
      <c r="H2" s="766"/>
      <c r="I2" s="766"/>
      <c r="J2" s="766"/>
      <c r="K2" s="766"/>
      <c r="L2" s="767"/>
      <c r="M2" s="423"/>
      <c r="N2" s="423"/>
      <c r="O2" s="423"/>
      <c r="Q2" s="33"/>
      <c r="R2" s="204"/>
      <c r="S2" s="706" t="e">
        <f>INDEX(PT_DIFFERENTIATION_NUM_NTAR,MATCH(A2,PT_DIFFERENTIATION_NTAR_ID,0))</f>
        <v>#N/A</v>
      </c>
      <c r="T2" s="64" t="s">
        <v>121</v>
      </c>
      <c r="U2" s="168"/>
      <c r="V2" s="1277"/>
      <c r="W2" s="1278"/>
      <c r="X2" s="1278"/>
      <c r="Y2" s="1278"/>
      <c r="Z2" s="1278"/>
      <c r="AA2" s="1278"/>
      <c r="AB2" s="1278"/>
      <c r="AC2" s="1279"/>
      <c r="AD2" s="1277" t="e">
        <f>INDEX(PT_DIFFERENTIATION_NTAR,MATCH(A2,PT_DIFFERENTIATION_NTAR_ID,0))</f>
        <v>#N/A</v>
      </c>
      <c r="AE2" s="1278"/>
      <c r="AF2" s="1278"/>
      <c r="AG2" s="1278"/>
      <c r="AH2" s="1278"/>
      <c r="AI2" s="1278"/>
      <c r="AJ2" s="1278"/>
      <c r="AK2" s="1278"/>
      <c r="AL2" s="1279"/>
      <c r="AM2" s="726" t="s">
        <v>396</v>
      </c>
      <c r="AO2" s="66"/>
      <c r="AP2" s="66" t="str">
        <f t="shared" ref="AP2:AP15" si="0">IF(T2="","",T2)</f>
        <v>Наименование тарифа</v>
      </c>
      <c r="AQ2" s="66"/>
      <c r="AR2" s="66"/>
      <c r="AS2" s="10">
        <v>0</v>
      </c>
    </row>
    <row r="3" spans="1:45" ht="21" hidden="1" customHeight="1">
      <c r="A3" s="766"/>
      <c r="B3" s="766"/>
      <c r="C3" s="766"/>
      <c r="D3" s="766"/>
      <c r="E3" s="1284"/>
      <c r="F3" s="1283">
        <v>1</v>
      </c>
      <c r="G3" s="766"/>
      <c r="H3" s="766"/>
      <c r="I3" s="766"/>
      <c r="J3" s="766"/>
      <c r="K3" s="766"/>
      <c r="L3" s="767"/>
      <c r="M3" s="423"/>
      <c r="N3" s="423"/>
      <c r="O3" s="423"/>
      <c r="P3" s="56"/>
      <c r="Q3" s="201"/>
      <c r="R3" s="202"/>
      <c r="S3" s="706" t="e">
        <f>INDEX(PT_DIFFERENTIATION_NUM_TER,MATCH(B3,PT_DIFFERENTIATION_TER_ID,0))</f>
        <v>#N/A</v>
      </c>
      <c r="T3" s="174" t="s">
        <v>397</v>
      </c>
      <c r="U3" s="168"/>
      <c r="V3" s="1277"/>
      <c r="W3" s="1278"/>
      <c r="X3" s="1278"/>
      <c r="Y3" s="1278"/>
      <c r="Z3" s="1278"/>
      <c r="AA3" s="1278"/>
      <c r="AB3" s="1278"/>
      <c r="AC3" s="1279"/>
      <c r="AD3" s="1277" t="e">
        <f>INDEX(PT_DIFFERENTIATION_TER,MATCH(B3,PT_DIFFERENTIATION_TER_ID,0))</f>
        <v>#N/A</v>
      </c>
      <c r="AE3" s="1278"/>
      <c r="AF3" s="1278"/>
      <c r="AG3" s="1278"/>
      <c r="AH3" s="1278"/>
      <c r="AI3" s="1278"/>
      <c r="AJ3" s="1278"/>
      <c r="AK3" s="1278"/>
      <c r="AL3" s="1279"/>
      <c r="AM3" s="726" t="s">
        <v>398</v>
      </c>
      <c r="AO3" s="66"/>
      <c r="AP3" s="66" t="str">
        <f t="shared" si="0"/>
        <v>Территория действия тарифа</v>
      </c>
      <c r="AQ3" s="66"/>
      <c r="AR3" s="66"/>
      <c r="AS3" s="10">
        <v>0</v>
      </c>
    </row>
    <row r="4" spans="1:45" ht="23.25" hidden="1" customHeight="1">
      <c r="A4" s="766"/>
      <c r="B4" s="766"/>
      <c r="C4" s="766"/>
      <c r="D4" s="766"/>
      <c r="E4" s="1284"/>
      <c r="F4" s="1284"/>
      <c r="G4" s="1283">
        <v>1</v>
      </c>
      <c r="H4" s="766"/>
      <c r="I4" s="766"/>
      <c r="J4" s="766"/>
      <c r="K4" s="766"/>
      <c r="L4" s="767"/>
      <c r="M4" s="423"/>
      <c r="N4" s="423"/>
      <c r="O4" s="423"/>
      <c r="P4" s="203"/>
      <c r="Q4" s="201"/>
      <c r="R4" s="202"/>
      <c r="S4" s="1044" t="e">
        <f>INDEX(PT_DIFFERENTIATION_NUM_CS,MATCH(C4,PT_DIFFERENTIATION_CS_ID,0))</f>
        <v>#N/A</v>
      </c>
      <c r="T4" s="1062" t="s">
        <v>399</v>
      </c>
      <c r="U4" s="1063"/>
      <c r="V4" s="1319"/>
      <c r="W4" s="1320"/>
      <c r="X4" s="1320"/>
      <c r="Y4" s="1320"/>
      <c r="Z4" s="1320"/>
      <c r="AA4" s="1320"/>
      <c r="AB4" s="1320"/>
      <c r="AC4" s="1321"/>
      <c r="AD4" s="1319" t="e">
        <f>INDEX(PT_DIFFERENTIATION_CS,MATCH(C4,PT_DIFFERENTIATION_CS_ID,0))</f>
        <v>#N/A</v>
      </c>
      <c r="AE4" s="1320"/>
      <c r="AF4" s="1320"/>
      <c r="AG4" s="1320"/>
      <c r="AH4" s="1320"/>
      <c r="AI4" s="1320"/>
      <c r="AJ4" s="1320"/>
      <c r="AK4" s="1320"/>
      <c r="AL4" s="1321"/>
      <c r="AM4" s="726" t="s">
        <v>400</v>
      </c>
      <c r="AO4" s="66"/>
      <c r="AP4" s="66" t="str">
        <f t="shared" si="0"/>
        <v xml:space="preserve">Наименование системы теплоснабжения </v>
      </c>
      <c r="AQ4" s="66"/>
      <c r="AR4" s="66"/>
      <c r="AS4" s="10">
        <v>0</v>
      </c>
    </row>
    <row r="5" spans="1:45" ht="21" hidden="1" customHeight="1">
      <c r="A5" s="766"/>
      <c r="B5" s="766"/>
      <c r="C5" s="766"/>
      <c r="D5" s="766"/>
      <c r="E5" s="1284"/>
      <c r="F5" s="1284"/>
      <c r="G5" s="1284"/>
      <c r="H5" s="1283">
        <v>1</v>
      </c>
      <c r="I5" s="766"/>
      <c r="J5" s="766"/>
      <c r="K5" s="766"/>
      <c r="L5" s="767"/>
      <c r="M5" s="423"/>
      <c r="N5" s="423"/>
      <c r="O5" s="423"/>
      <c r="P5" s="203"/>
      <c r="Q5" s="201"/>
      <c r="R5" s="10"/>
      <c r="S5" s="706" t="e">
        <f>INDEX(PT_DIFFERENTIATION_NUM_IST_TE,MATCH(D5,PT_DIFFERENTIATION_IST_TE_ID,0))</f>
        <v>#N/A</v>
      </c>
      <c r="T5" s="176" t="s">
        <v>401</v>
      </c>
      <c r="U5" s="168"/>
      <c r="V5" s="1322"/>
      <c r="W5" s="1322"/>
      <c r="X5" s="1322"/>
      <c r="Y5" s="1322"/>
      <c r="Z5" s="1322"/>
      <c r="AA5" s="1322"/>
      <c r="AB5" s="1322"/>
      <c r="AC5" s="1322"/>
      <c r="AD5" s="1322" t="e">
        <f>INDEX(PT_DIFFERENTIATION_IST_TE,MATCH(D5,PT_DIFFERENTIATION_IST_TE_ID,0))</f>
        <v>#N/A</v>
      </c>
      <c r="AE5" s="1322"/>
      <c r="AF5" s="1322"/>
      <c r="AG5" s="1322"/>
      <c r="AH5" s="1322"/>
      <c r="AI5" s="1322"/>
      <c r="AJ5" s="1322"/>
      <c r="AK5" s="1322"/>
      <c r="AL5" s="1322"/>
      <c r="AM5" s="1060" t="s">
        <v>402</v>
      </c>
      <c r="AO5" s="66"/>
      <c r="AP5" s="66" t="str">
        <f t="shared" si="0"/>
        <v xml:space="preserve">Источник тепловой энергии  </v>
      </c>
      <c r="AQ5" s="66"/>
      <c r="AR5" s="66"/>
      <c r="AS5" s="10">
        <v>0</v>
      </c>
    </row>
    <row r="6" spans="1:45" ht="0.75" hidden="1" customHeight="1">
      <c r="A6" s="766"/>
      <c r="B6" s="766"/>
      <c r="C6" s="766"/>
      <c r="D6" s="766"/>
      <c r="E6" s="1284"/>
      <c r="F6" s="1284"/>
      <c r="G6" s="1284"/>
      <c r="H6" s="1284"/>
      <c r="I6" s="1285" t="e">
        <f>S5&amp;".1"</f>
        <v>#N/A</v>
      </c>
      <c r="J6" s="766"/>
      <c r="K6" s="766"/>
      <c r="L6" s="767" t="s">
        <v>403</v>
      </c>
      <c r="M6" s="60"/>
      <c r="P6" s="1287">
        <v>1</v>
      </c>
      <c r="Q6" s="119"/>
      <c r="R6" s="119"/>
      <c r="S6" s="359"/>
      <c r="T6" s="776"/>
      <c r="U6" s="777"/>
      <c r="V6" s="1323"/>
      <c r="W6" s="1323"/>
      <c r="X6" s="1323"/>
      <c r="Y6" s="1323"/>
      <c r="Z6" s="1323"/>
      <c r="AA6" s="1323"/>
      <c r="AB6" s="1323"/>
      <c r="AC6" s="1323"/>
      <c r="AD6" s="1323"/>
      <c r="AE6" s="1323"/>
      <c r="AF6" s="1323"/>
      <c r="AG6" s="1323"/>
      <c r="AH6" s="1323"/>
      <c r="AI6" s="1323"/>
      <c r="AJ6" s="1323"/>
      <c r="AK6" s="1323"/>
      <c r="AL6" s="1323"/>
      <c r="AM6" s="1061"/>
      <c r="AO6" s="66"/>
      <c r="AP6" s="66" t="str">
        <f t="shared" si="0"/>
        <v/>
      </c>
      <c r="AQ6" s="66"/>
      <c r="AR6" s="66"/>
      <c r="AS6" s="10">
        <v>0</v>
      </c>
    </row>
    <row r="7" spans="1:45" ht="84" hidden="1" customHeight="1">
      <c r="A7" s="766"/>
      <c r="B7" s="766"/>
      <c r="C7" s="766"/>
      <c r="D7" s="766"/>
      <c r="E7" s="1284"/>
      <c r="F7" s="1284"/>
      <c r="G7" s="1284"/>
      <c r="H7" s="1284"/>
      <c r="I7" s="1286"/>
      <c r="J7" s="1285" t="e">
        <f>I6&amp;".1"</f>
        <v>#N/A</v>
      </c>
      <c r="K7" s="766"/>
      <c r="L7" s="767" t="s">
        <v>406</v>
      </c>
      <c r="M7" s="60"/>
      <c r="N7" s="60"/>
      <c r="P7" s="1287"/>
      <c r="Q7" s="1287">
        <v>1</v>
      </c>
      <c r="R7" s="65"/>
      <c r="S7" s="706" t="e">
        <f>$J7</f>
        <v>#N/A</v>
      </c>
      <c r="T7" s="162" t="s">
        <v>407</v>
      </c>
      <c r="U7" s="168"/>
      <c r="V7" s="1317"/>
      <c r="W7" s="1317"/>
      <c r="X7" s="1317"/>
      <c r="Y7" s="1317"/>
      <c r="Z7" s="1317"/>
      <c r="AA7" s="1317"/>
      <c r="AB7" s="1317"/>
      <c r="AC7" s="1317"/>
      <c r="AD7" s="1317"/>
      <c r="AE7" s="1317"/>
      <c r="AF7" s="1317"/>
      <c r="AG7" s="1317"/>
      <c r="AH7" s="1317"/>
      <c r="AI7" s="1317"/>
      <c r="AJ7" s="1317"/>
      <c r="AK7" s="1317"/>
      <c r="AL7" s="1317"/>
      <c r="AM7" s="1060" t="s">
        <v>408</v>
      </c>
      <c r="AO7" s="66"/>
      <c r="AP7" s="66" t="str">
        <f t="shared" si="0"/>
        <v>Группа потребителей</v>
      </c>
      <c r="AQ7" s="66"/>
      <c r="AR7" s="66"/>
      <c r="AS7" s="10">
        <v>0</v>
      </c>
    </row>
    <row r="8" spans="1:45" ht="11.25" hidden="1" customHeight="1">
      <c r="A8" s="766"/>
      <c r="B8" s="766"/>
      <c r="C8" s="766"/>
      <c r="D8" s="766"/>
      <c r="E8" s="1284"/>
      <c r="F8" s="1284"/>
      <c r="G8" s="1284"/>
      <c r="H8" s="1284"/>
      <c r="I8" s="1286"/>
      <c r="J8" s="1286"/>
      <c r="K8" s="1285" t="e">
        <f>J7&amp;".1"</f>
        <v>#N/A</v>
      </c>
      <c r="L8" s="767" t="s">
        <v>409</v>
      </c>
      <c r="M8" s="60"/>
      <c r="N8" s="60"/>
      <c r="O8" s="60"/>
      <c r="P8" s="1287"/>
      <c r="Q8" s="1287"/>
      <c r="R8" s="206">
        <v>1</v>
      </c>
      <c r="S8" s="1059" t="e">
        <f>$K8</f>
        <v>#N/A</v>
      </c>
      <c r="T8" s="1064"/>
      <c r="U8" s="1065"/>
      <c r="V8" s="1066"/>
      <c r="W8" s="764"/>
      <c r="X8" s="1066"/>
      <c r="Y8" s="1067"/>
      <c r="Z8" s="1318"/>
      <c r="AA8" s="1161" t="s">
        <v>64</v>
      </c>
      <c r="AB8" s="1318"/>
      <c r="AC8" s="1161" t="s">
        <v>64</v>
      </c>
      <c r="AD8" s="1066"/>
      <c r="AE8" s="764"/>
      <c r="AF8" s="1066"/>
      <c r="AG8" s="1067"/>
      <c r="AH8" s="1318"/>
      <c r="AI8" s="1161" t="s">
        <v>64</v>
      </c>
      <c r="AJ8" s="1318"/>
      <c r="AK8" s="1161" t="s">
        <v>64</v>
      </c>
      <c r="AL8" s="764"/>
      <c r="AM8" s="1306" t="s">
        <v>410</v>
      </c>
      <c r="AN8" s="65" t="e">
        <f ca="1">STRCHECKDATE(V9:AL9)</f>
        <v>#NAME?</v>
      </c>
      <c r="AO8" s="66"/>
      <c r="AP8" s="66" t="str">
        <f t="shared" si="0"/>
        <v/>
      </c>
      <c r="AQ8" s="66"/>
      <c r="AR8" s="66"/>
      <c r="AS8" s="10">
        <v>0</v>
      </c>
    </row>
    <row r="9" spans="1:45" ht="0.75" hidden="1" customHeight="1">
      <c r="A9" s="766"/>
      <c r="B9" s="766"/>
      <c r="C9" s="766"/>
      <c r="D9" s="766"/>
      <c r="E9" s="1284"/>
      <c r="F9" s="1284"/>
      <c r="G9" s="1284"/>
      <c r="H9" s="1284"/>
      <c r="I9" s="1286"/>
      <c r="J9" s="1286"/>
      <c r="K9" s="1285"/>
      <c r="L9" s="767"/>
      <c r="M9" s="60"/>
      <c r="N9" s="60"/>
      <c r="O9" s="60"/>
      <c r="P9" s="1287"/>
      <c r="Q9" s="1287"/>
      <c r="R9" s="206"/>
      <c r="S9" s="62"/>
      <c r="T9" s="168"/>
      <c r="U9" s="168"/>
      <c r="V9" s="188"/>
      <c r="W9" s="188"/>
      <c r="X9" s="188"/>
      <c r="Y9" s="189" t="str">
        <f>Z8&amp;"-"&amp;AB8</f>
        <v>-</v>
      </c>
      <c r="Z9" s="1289"/>
      <c r="AA9" s="1156"/>
      <c r="AB9" s="1289"/>
      <c r="AC9" s="1156"/>
      <c r="AD9" s="188"/>
      <c r="AE9" s="188"/>
      <c r="AF9" s="188"/>
      <c r="AG9" s="189" t="str">
        <f>AH8&amp;"-"&amp;AJ8</f>
        <v>-</v>
      </c>
      <c r="AH9" s="1289"/>
      <c r="AI9" s="1156"/>
      <c r="AJ9" s="1289"/>
      <c r="AK9" s="1156"/>
      <c r="AL9" s="188"/>
      <c r="AM9" s="1307"/>
      <c r="AO9" s="66"/>
      <c r="AP9" s="66" t="str">
        <f t="shared" si="0"/>
        <v/>
      </c>
      <c r="AQ9" s="66"/>
      <c r="AR9" s="66"/>
      <c r="AS9" s="10">
        <v>0</v>
      </c>
    </row>
    <row r="10" spans="1:45" ht="11.25" hidden="1" customHeight="1">
      <c r="A10" s="766"/>
      <c r="B10" s="766"/>
      <c r="C10" s="766"/>
      <c r="D10" s="766"/>
      <c r="E10" s="1284"/>
      <c r="F10" s="1284"/>
      <c r="G10" s="1284"/>
      <c r="H10" s="1284"/>
      <c r="I10" s="1286"/>
      <c r="J10" s="1285"/>
      <c r="K10" s="766"/>
      <c r="L10" s="767"/>
      <c r="M10" s="60"/>
      <c r="N10" s="60"/>
      <c r="P10" s="1287"/>
      <c r="Q10" s="1287"/>
      <c r="R10" s="205"/>
      <c r="S10" s="739"/>
      <c r="T10" s="163" t="s">
        <v>411</v>
      </c>
      <c r="U10" s="210"/>
      <c r="V10" s="210"/>
      <c r="W10" s="210"/>
      <c r="X10" s="210"/>
      <c r="Y10" s="210"/>
      <c r="Z10" s="210"/>
      <c r="AA10" s="210"/>
      <c r="AB10" s="210"/>
      <c r="AC10" s="210"/>
      <c r="AD10" s="210"/>
      <c r="AE10" s="210"/>
      <c r="AF10" s="210"/>
      <c r="AG10" s="210"/>
      <c r="AH10" s="210"/>
      <c r="AI10" s="210"/>
      <c r="AJ10" s="210"/>
      <c r="AK10" s="210"/>
      <c r="AL10" s="187"/>
      <c r="AM10" s="1308"/>
      <c r="AO10" s="66"/>
      <c r="AP10" s="66" t="str">
        <f t="shared" si="0"/>
        <v>Добавить вид теплоносителя (параметры теплоносителя)</v>
      </c>
      <c r="AQ10" s="66"/>
      <c r="AR10" s="66"/>
      <c r="AS10" s="10">
        <v>0</v>
      </c>
    </row>
    <row r="11" spans="1:45" ht="11.25" hidden="1" customHeight="1">
      <c r="A11" s="766"/>
      <c r="B11" s="766"/>
      <c r="C11" s="766"/>
      <c r="D11" s="766"/>
      <c r="E11" s="1284"/>
      <c r="F11" s="1284"/>
      <c r="G11" s="1284"/>
      <c r="H11" s="1284"/>
      <c r="I11" s="1285"/>
      <c r="J11" s="766"/>
      <c r="K11" s="766"/>
      <c r="L11" s="767"/>
      <c r="M11" s="60"/>
      <c r="P11" s="1287"/>
      <c r="Q11" s="119"/>
      <c r="R11" s="205"/>
      <c r="S11" s="739"/>
      <c r="T11" s="208" t="s">
        <v>412</v>
      </c>
      <c r="U11" s="210"/>
      <c r="V11" s="210"/>
      <c r="W11" s="210"/>
      <c r="X11" s="210"/>
      <c r="Y11" s="210"/>
      <c r="Z11" s="210"/>
      <c r="AA11" s="210"/>
      <c r="AB11" s="210"/>
      <c r="AC11" s="209"/>
      <c r="AD11" s="210"/>
      <c r="AE11" s="210"/>
      <c r="AF11" s="210"/>
      <c r="AG11" s="210"/>
      <c r="AH11" s="210"/>
      <c r="AI11" s="210"/>
      <c r="AJ11" s="210"/>
      <c r="AK11" s="209"/>
      <c r="AL11" s="210"/>
      <c r="AM11" s="171"/>
      <c r="AO11" s="66"/>
      <c r="AP11" s="66" t="str">
        <f t="shared" si="0"/>
        <v>Добавить группу потребителей</v>
      </c>
      <c r="AQ11" s="66"/>
      <c r="AR11" s="66"/>
      <c r="AS11" s="10">
        <v>0</v>
      </c>
    </row>
    <row r="12" spans="1:45" ht="0.75" hidden="1" customHeight="1">
      <c r="A12" s="766"/>
      <c r="B12" s="766"/>
      <c r="C12" s="766"/>
      <c r="D12" s="766"/>
      <c r="E12" s="1284"/>
      <c r="F12" s="1284"/>
      <c r="G12" s="1284"/>
      <c r="H12" s="1283"/>
      <c r="I12" s="766"/>
      <c r="J12" s="766"/>
      <c r="K12" s="766"/>
      <c r="L12" s="767"/>
      <c r="M12" s="423"/>
      <c r="N12" s="423"/>
      <c r="O12" s="60"/>
      <c r="P12" s="33"/>
      <c r="Q12" s="213"/>
      <c r="R12" s="204"/>
      <c r="S12" s="779"/>
      <c r="T12" s="780"/>
      <c r="U12" s="781"/>
      <c r="V12" s="781"/>
      <c r="W12" s="781"/>
      <c r="X12" s="781"/>
      <c r="Y12" s="781"/>
      <c r="Z12" s="781"/>
      <c r="AA12" s="781"/>
      <c r="AB12" s="781"/>
      <c r="AC12" s="781"/>
      <c r="AD12" s="781"/>
      <c r="AE12" s="781"/>
      <c r="AF12" s="781"/>
      <c r="AG12" s="781"/>
      <c r="AH12" s="781"/>
      <c r="AI12" s="781"/>
      <c r="AJ12" s="781"/>
      <c r="AK12" s="781"/>
      <c r="AL12" s="781"/>
      <c r="AM12" s="782"/>
      <c r="AO12" s="66"/>
      <c r="AP12" s="66" t="str">
        <f t="shared" si="0"/>
        <v/>
      </c>
      <c r="AQ12" s="66"/>
      <c r="AR12" s="66"/>
      <c r="AS12" s="10">
        <v>0</v>
      </c>
    </row>
    <row r="13" spans="1:45" s="65" customFormat="1" ht="0.75" hidden="1" customHeight="1">
      <c r="A13" s="142"/>
      <c r="B13" s="142"/>
      <c r="C13" s="142"/>
      <c r="D13" s="142"/>
      <c r="E13" s="1284"/>
      <c r="F13" s="1284"/>
      <c r="G13" s="1283"/>
      <c r="H13" s="142"/>
      <c r="I13" s="142"/>
      <c r="J13" s="142"/>
      <c r="K13" s="142"/>
      <c r="L13" s="343"/>
      <c r="M13" s="290"/>
      <c r="N13" s="290"/>
      <c r="P13" s="101"/>
      <c r="Q13" s="752"/>
      <c r="R13" s="101"/>
      <c r="S13" s="753"/>
      <c r="T13" s="754" t="s">
        <v>414</v>
      </c>
      <c r="U13" s="755"/>
      <c r="V13" s="755"/>
      <c r="W13" s="755"/>
      <c r="X13" s="755"/>
      <c r="Y13" s="755"/>
      <c r="Z13" s="755"/>
      <c r="AA13" s="755"/>
      <c r="AB13" s="755"/>
      <c r="AC13" s="755"/>
      <c r="AD13" s="755"/>
      <c r="AE13" s="755"/>
      <c r="AF13" s="755"/>
      <c r="AG13" s="755"/>
      <c r="AH13" s="755"/>
      <c r="AI13" s="755"/>
      <c r="AJ13" s="755"/>
      <c r="AK13" s="755"/>
      <c r="AL13" s="755"/>
      <c r="AM13" s="755"/>
      <c r="AO13" s="66"/>
      <c r="AP13" s="66" t="str">
        <f t="shared" si="0"/>
        <v>Добавить источник для дифференциации</v>
      </c>
      <c r="AQ13" s="66"/>
      <c r="AR13" s="66"/>
      <c r="AS13" s="65">
        <v>0</v>
      </c>
    </row>
    <row r="14" spans="1:45" s="65" customFormat="1" ht="0.75" hidden="1" customHeight="1">
      <c r="A14" s="142"/>
      <c r="B14" s="142"/>
      <c r="C14" s="142"/>
      <c r="D14" s="142"/>
      <c r="E14" s="1284"/>
      <c r="F14" s="1283"/>
      <c r="G14" s="142"/>
      <c r="H14" s="142"/>
      <c r="I14" s="142"/>
      <c r="J14" s="142"/>
      <c r="K14" s="142"/>
      <c r="L14" s="343"/>
      <c r="M14" s="756"/>
      <c r="N14" s="756"/>
      <c r="P14" s="101"/>
      <c r="Q14" s="752"/>
      <c r="R14" s="101"/>
      <c r="S14" s="757"/>
      <c r="T14" s="758" t="s">
        <v>231</v>
      </c>
      <c r="U14" s="310"/>
      <c r="V14" s="310"/>
      <c r="W14" s="310"/>
      <c r="X14" s="310"/>
      <c r="Y14" s="310"/>
      <c r="Z14" s="310"/>
      <c r="AA14" s="310"/>
      <c r="AB14" s="310"/>
      <c r="AC14" s="310"/>
      <c r="AD14" s="310"/>
      <c r="AE14" s="310"/>
      <c r="AF14" s="310"/>
      <c r="AG14" s="310"/>
      <c r="AH14" s="310"/>
      <c r="AI14" s="310"/>
      <c r="AJ14" s="310"/>
      <c r="AK14" s="310"/>
      <c r="AL14" s="310"/>
      <c r="AM14" s="310"/>
      <c r="AO14" s="66"/>
      <c r="AP14" s="66" t="str">
        <f t="shared" si="0"/>
        <v>Добавить централизованную систему для дифференциации</v>
      </c>
      <c r="AQ14" s="66"/>
      <c r="AR14" s="66"/>
      <c r="AS14" s="65">
        <v>0</v>
      </c>
    </row>
    <row r="15" spans="1:45" s="65" customFormat="1" ht="0.75" hidden="1" customHeight="1">
      <c r="A15" s="142"/>
      <c r="B15" s="142"/>
      <c r="C15" s="142"/>
      <c r="D15" s="142"/>
      <c r="E15" s="1283"/>
      <c r="F15" s="142"/>
      <c r="G15" s="142"/>
      <c r="H15" s="142"/>
      <c r="I15" s="142"/>
      <c r="J15" s="142"/>
      <c r="K15" s="142"/>
      <c r="L15" s="343"/>
      <c r="M15" s="756"/>
      <c r="N15" s="756"/>
      <c r="P15" s="101"/>
      <c r="Q15" s="752"/>
      <c r="R15" s="101"/>
      <c r="S15" s="757"/>
      <c r="T15" s="759" t="s">
        <v>232</v>
      </c>
      <c r="U15" s="310"/>
      <c r="V15" s="310"/>
      <c r="W15" s="310"/>
      <c r="X15" s="310"/>
      <c r="Y15" s="310"/>
      <c r="Z15" s="310"/>
      <c r="AA15" s="310"/>
      <c r="AB15" s="310"/>
      <c r="AC15" s="310"/>
      <c r="AD15" s="310"/>
      <c r="AE15" s="310"/>
      <c r="AF15" s="310"/>
      <c r="AG15" s="310"/>
      <c r="AH15" s="310"/>
      <c r="AI15" s="310"/>
      <c r="AJ15" s="310"/>
      <c r="AK15" s="310"/>
      <c r="AL15" s="310"/>
      <c r="AM15" s="310"/>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5"/>
      <c r="AE17" s="365"/>
      <c r="AF17" s="365"/>
      <c r="AG17" s="765"/>
      <c r="AH17" s="1281"/>
      <c r="AI17" s="1280" t="s">
        <v>64</v>
      </c>
      <c r="AJ17" s="1281"/>
      <c r="AK17" s="1280" t="s">
        <v>64</v>
      </c>
      <c r="AS17" s="10">
        <v>0</v>
      </c>
    </row>
    <row r="18" spans="1:45" ht="14.25" hidden="1" customHeight="1">
      <c r="AD18" s="365"/>
      <c r="AE18" s="365"/>
      <c r="AF18" s="365"/>
      <c r="AG18" s="189" t="str">
        <f>AH17&amp;"-"&amp;AJ17</f>
        <v>-</v>
      </c>
      <c r="AH18" s="1280"/>
      <c r="AI18" s="1280"/>
      <c r="AJ18" s="1280"/>
      <c r="AK18" s="1280"/>
      <c r="AS18" s="10">
        <v>0</v>
      </c>
    </row>
    <row r="19" spans="1:45" ht="14.25" hidden="1" customHeight="1">
      <c r="AS19" s="10">
        <v>0</v>
      </c>
    </row>
    <row r="20" spans="1:45" s="60" customFormat="1" ht="22.5" hidden="1" customHeight="1">
      <c r="L20" s="298"/>
      <c r="M20" s="503"/>
      <c r="N20" s="503"/>
      <c r="O20" s="768" t="s">
        <v>415</v>
      </c>
      <c r="P20" s="503"/>
      <c r="Q20" s="769"/>
      <c r="R20" s="769"/>
      <c r="S20" s="423"/>
      <c r="Z20" s="768"/>
      <c r="AB20" s="768"/>
      <c r="AH20" s="768"/>
      <c r="AJ20" s="768"/>
      <c r="AN20" s="65"/>
      <c r="AO20" s="65"/>
      <c r="AP20" s="65"/>
      <c r="AQ20" s="65"/>
      <c r="AR20" s="65"/>
      <c r="AS20" s="60">
        <v>0</v>
      </c>
    </row>
    <row r="21" spans="1:45" s="60" customFormat="1" ht="14.25" hidden="1" customHeight="1">
      <c r="L21" s="298"/>
      <c r="M21" s="503"/>
      <c r="N21" s="503"/>
      <c r="O21" s="503"/>
      <c r="P21" s="503"/>
      <c r="Q21" s="769"/>
      <c r="R21" s="769"/>
      <c r="S21" s="423"/>
      <c r="AN21" s="65"/>
      <c r="AO21" s="65"/>
      <c r="AP21" s="65"/>
      <c r="AQ21" s="65"/>
      <c r="AR21" s="65"/>
      <c r="AS21" s="60">
        <v>0</v>
      </c>
    </row>
    <row r="22" spans="1:45" s="60" customFormat="1" ht="14.25" hidden="1" customHeight="1">
      <c r="L22" s="298"/>
      <c r="M22" s="503"/>
      <c r="N22" s="503"/>
      <c r="O22" s="767" t="s">
        <v>416</v>
      </c>
      <c r="P22" s="503"/>
      <c r="Q22" s="769"/>
      <c r="R22" s="769"/>
      <c r="S22" s="423"/>
      <c r="T22" s="60" t="s">
        <v>417</v>
      </c>
      <c r="AA22" s="79" t="s">
        <v>418</v>
      </c>
      <c r="AC22" s="79" t="s">
        <v>419</v>
      </c>
      <c r="AD22" s="60" t="s">
        <v>417</v>
      </c>
      <c r="AI22" s="79" t="s">
        <v>420</v>
      </c>
      <c r="AK22" s="79" t="s">
        <v>419</v>
      </c>
      <c r="AN22" s="65"/>
      <c r="AO22" s="65"/>
      <c r="AP22" s="65"/>
      <c r="AQ22" s="65"/>
      <c r="AR22" s="65"/>
      <c r="AS22" s="60">
        <v>0</v>
      </c>
    </row>
    <row r="23" spans="1:45" ht="14.25" hidden="1" customHeight="1">
      <c r="O23" s="767"/>
      <c r="AS23" s="10">
        <v>0</v>
      </c>
    </row>
    <row r="24" spans="1:45" ht="14.25" hidden="1" customHeight="1">
      <c r="O24" s="767"/>
      <c r="AS24" s="10">
        <v>0</v>
      </c>
    </row>
    <row r="25" spans="1:45" ht="14.65" customHeight="1">
      <c r="Q25" s="27"/>
      <c r="R25" s="27"/>
      <c r="S25" s="736"/>
      <c r="T25" s="9"/>
      <c r="U25" s="9"/>
      <c r="AS25" s="10">
        <v>14</v>
      </c>
    </row>
    <row r="26" spans="1:45" ht="54.75" customHeight="1">
      <c r="Q26" s="27"/>
      <c r="R26" s="27"/>
      <c r="S26" s="121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15"/>
      <c r="U26" s="1215"/>
      <c r="V26" s="1215"/>
      <c r="W26" s="1215"/>
      <c r="X26" s="1215"/>
      <c r="Y26" s="1215"/>
      <c r="Z26" s="1215"/>
      <c r="AA26" s="1215"/>
      <c r="AB26" s="1215"/>
      <c r="AC26" s="1215"/>
      <c r="AD26" s="1215"/>
      <c r="AE26" s="1215"/>
      <c r="AF26" s="1215"/>
      <c r="AG26" s="1215"/>
      <c r="AH26" s="1215"/>
      <c r="AI26" s="1215"/>
      <c r="AJ26" s="1215"/>
      <c r="AK26" s="57"/>
      <c r="AS26" s="10">
        <v>52</v>
      </c>
    </row>
    <row r="27" spans="1:45" ht="14.65" customHeight="1">
      <c r="Q27" s="27"/>
      <c r="R27" s="27"/>
      <c r="S27" s="1236" t="str">
        <f>IF(org=0,"Не определено",org)</f>
        <v>Общество с ограниченной ответственностью "Березовский рудник"</v>
      </c>
      <c r="T27" s="1236"/>
      <c r="U27" s="1236"/>
      <c r="V27" s="1236"/>
      <c r="W27" s="1236"/>
      <c r="X27" s="1236"/>
      <c r="Y27" s="1236"/>
      <c r="Z27" s="1236"/>
      <c r="AA27" s="1236"/>
      <c r="AB27" s="1236"/>
      <c r="AC27" s="1236"/>
      <c r="AD27" s="1236"/>
      <c r="AE27" s="1236"/>
      <c r="AF27" s="1236"/>
      <c r="AG27" s="1236"/>
      <c r="AH27" s="1236"/>
      <c r="AI27" s="1236"/>
      <c r="AJ27" s="1236"/>
      <c r="AK27" s="57"/>
      <c r="AS27" s="10">
        <v>14</v>
      </c>
    </row>
    <row r="28" spans="1:45" ht="14.25" hidden="1" customHeight="1">
      <c r="Q28" s="27"/>
      <c r="R28" s="27"/>
      <c r="S28" s="736"/>
      <c r="T28" s="9"/>
      <c r="U28" s="9"/>
      <c r="V28" s="186"/>
      <c r="W28" s="186"/>
      <c r="X28" s="186"/>
      <c r="Y28" s="186"/>
      <c r="Z28" s="186"/>
      <c r="AA28" s="186"/>
      <c r="AB28" s="186"/>
      <c r="AC28" s="186"/>
      <c r="AD28" s="186"/>
      <c r="AE28" s="186"/>
      <c r="AF28" s="186"/>
      <c r="AG28" s="186"/>
      <c r="AH28" s="186"/>
      <c r="AI28" s="186"/>
      <c r="AJ28" s="186"/>
      <c r="AK28" s="186"/>
      <c r="AS28" s="10">
        <v>0</v>
      </c>
    </row>
    <row r="29" spans="1:45" s="34" customFormat="1" ht="25.5" hidden="1" customHeight="1">
      <c r="A29" s="79"/>
      <c r="B29" s="79"/>
      <c r="C29" s="79"/>
      <c r="D29" s="79"/>
      <c r="E29" s="79"/>
      <c r="F29" s="79"/>
      <c r="G29" s="79"/>
      <c r="H29" s="79"/>
      <c r="I29" s="79"/>
      <c r="J29" s="79"/>
      <c r="K29" s="79"/>
      <c r="L29" s="767"/>
      <c r="M29" s="79"/>
      <c r="N29" s="79"/>
      <c r="O29" s="79"/>
      <c r="S29" s="1274" t="s">
        <v>41</v>
      </c>
      <c r="T29" s="1274"/>
      <c r="U29" s="770"/>
      <c r="V29" s="1276" t="str">
        <f>IF(TITLE_NAME_OR_PR_CHANGE="",IF(TITLE_NAME_OR_PR="","",TITLE_NAME_OR_PR),TITLE_NAME_OR_PR_CHANGE)</f>
        <v/>
      </c>
      <c r="W29" s="1276"/>
      <c r="X29" s="1276"/>
      <c r="Y29" s="1276"/>
      <c r="Z29" s="1276"/>
      <c r="AA29" s="1276"/>
      <c r="AB29" s="1276"/>
      <c r="AC29" s="10"/>
      <c r="AD29" s="1276" t="str">
        <f>IF(TITLE_NAME_OR_PR_CHANGE="",IF(TITLE_NAME_OR_PR="","",TITLE_NAME_OR_PR),TITLE_NAME_OR_PR_CHANGE)</f>
        <v/>
      </c>
      <c r="AE29" s="1276"/>
      <c r="AF29" s="1276"/>
      <c r="AG29" s="1276"/>
      <c r="AH29" s="1276"/>
      <c r="AI29" s="1276"/>
      <c r="AJ29" s="1276"/>
      <c r="AK29" s="10"/>
      <c r="AL29" s="10"/>
      <c r="AM29" s="160"/>
      <c r="AN29" s="66"/>
      <c r="AO29" s="66"/>
      <c r="AP29" s="66"/>
      <c r="AQ29" s="66"/>
      <c r="AR29" s="66"/>
      <c r="AS29" s="34">
        <v>0</v>
      </c>
    </row>
    <row r="30" spans="1:45" s="34" customFormat="1" ht="18.75" hidden="1" customHeight="1">
      <c r="A30" s="79"/>
      <c r="B30" s="79"/>
      <c r="C30" s="79"/>
      <c r="D30" s="79"/>
      <c r="E30" s="79"/>
      <c r="F30" s="79"/>
      <c r="G30" s="79"/>
      <c r="H30" s="79"/>
      <c r="I30" s="79"/>
      <c r="J30" s="79"/>
      <c r="K30" s="79"/>
      <c r="L30" s="767"/>
      <c r="M30" s="79"/>
      <c r="N30" s="79"/>
      <c r="O30" s="79"/>
      <c r="S30" s="1274" t="s">
        <v>421</v>
      </c>
      <c r="T30" s="1274"/>
      <c r="U30" s="770"/>
      <c r="V30" s="1275">
        <f>IF(TITLE_DATE_PR_CHANGE="",IF(TITLE_DATE_PR="","",TITLE_DATE_PR),TITLE_DATE_PR_CHANGE)</f>
        <v>45805</v>
      </c>
      <c r="W30" s="1275"/>
      <c r="X30" s="1275"/>
      <c r="Y30" s="1275"/>
      <c r="Z30" s="1275"/>
      <c r="AA30" s="1275"/>
      <c r="AB30" s="1275"/>
      <c r="AC30" s="10"/>
      <c r="AD30" s="1275">
        <f>IF(TITLE_DATE_PR_CHANGE="",IF(TITLE_DATE_PR="","",TITLE_DATE_PR),TITLE_DATE_PR_CHANGE)</f>
        <v>45805</v>
      </c>
      <c r="AE30" s="1275"/>
      <c r="AF30" s="1275"/>
      <c r="AG30" s="1275"/>
      <c r="AH30" s="1275"/>
      <c r="AI30" s="1275"/>
      <c r="AJ30" s="1275"/>
      <c r="AK30" s="10"/>
      <c r="AL30" s="10"/>
      <c r="AM30" s="160"/>
      <c r="AN30" s="66"/>
      <c r="AO30" s="66"/>
      <c r="AP30" s="66"/>
      <c r="AQ30" s="66"/>
      <c r="AR30" s="66"/>
      <c r="AS30" s="34">
        <v>0</v>
      </c>
    </row>
    <row r="31" spans="1:45" s="34" customFormat="1" ht="18.75" hidden="1" customHeight="1">
      <c r="A31" s="79"/>
      <c r="B31" s="79"/>
      <c r="C31" s="79"/>
      <c r="D31" s="79"/>
      <c r="E31" s="79"/>
      <c r="F31" s="79"/>
      <c r="G31" s="79"/>
      <c r="H31" s="79"/>
      <c r="I31" s="79"/>
      <c r="J31" s="79"/>
      <c r="K31" s="79"/>
      <c r="L31" s="767"/>
      <c r="M31" s="79"/>
      <c r="N31" s="79"/>
      <c r="O31" s="79"/>
      <c r="S31" s="1274" t="s">
        <v>422</v>
      </c>
      <c r="T31" s="1274"/>
      <c r="U31" s="770"/>
      <c r="V31" s="1276" t="str">
        <f>IF(TITLE_NUMBER_PR_CHANGE="",IF(TITLE_NUMBER_PR="","",TITLE_NUMBER_PR),TITLE_NUMBER_PR_CHANGE)</f>
        <v>2496</v>
      </c>
      <c r="W31" s="1276"/>
      <c r="X31" s="1276"/>
      <c r="Y31" s="1276"/>
      <c r="Z31" s="1276"/>
      <c r="AA31" s="1276"/>
      <c r="AB31" s="1276"/>
      <c r="AC31" s="10"/>
      <c r="AD31" s="1276" t="str">
        <f>IF(TITLE_NUMBER_PR_CHANGE="",IF(TITLE_NUMBER_PR="","",TITLE_NUMBER_PR),TITLE_NUMBER_PR_CHANGE)</f>
        <v>2496</v>
      </c>
      <c r="AE31" s="1276"/>
      <c r="AF31" s="1276"/>
      <c r="AG31" s="1276"/>
      <c r="AH31" s="1276"/>
      <c r="AI31" s="1276"/>
      <c r="AJ31" s="1276"/>
      <c r="AK31" s="10"/>
      <c r="AL31" s="10"/>
      <c r="AM31" s="160"/>
      <c r="AN31" s="66"/>
      <c r="AO31" s="66"/>
      <c r="AP31" s="66"/>
      <c r="AQ31" s="66"/>
      <c r="AR31" s="66"/>
      <c r="AS31" s="34">
        <v>0</v>
      </c>
    </row>
    <row r="32" spans="1:45" s="34" customFormat="1" ht="18.75" hidden="1" customHeight="1">
      <c r="A32" s="79"/>
      <c r="B32" s="79"/>
      <c r="C32" s="79"/>
      <c r="D32" s="79"/>
      <c r="E32" s="79"/>
      <c r="F32" s="79"/>
      <c r="G32" s="79"/>
      <c r="H32" s="79"/>
      <c r="I32" s="79"/>
      <c r="J32" s="79"/>
      <c r="K32" s="79"/>
      <c r="L32" s="767"/>
      <c r="M32" s="79"/>
      <c r="N32" s="79"/>
      <c r="O32" s="79"/>
      <c r="S32" s="1274" t="s">
        <v>42</v>
      </c>
      <c r="T32" s="1274"/>
      <c r="U32" s="770"/>
      <c r="V32" s="1276" t="str">
        <f>IF(TITLE_IST_PUB_CHANGE="",IF(TITLE_IST_PUB="","",TITLE_IST_PUB),TITLE_IST_PUB_CHANGE)</f>
        <v/>
      </c>
      <c r="W32" s="1276"/>
      <c r="X32" s="1276"/>
      <c r="Y32" s="1276"/>
      <c r="Z32" s="1276"/>
      <c r="AA32" s="1276"/>
      <c r="AB32" s="1276"/>
      <c r="AC32" s="10"/>
      <c r="AD32" s="1276" t="str">
        <f>IF(TITLE_IST_PUB_CHANGE="",IF(TITLE_IST_PUB="","",TITLE_IST_PUB),TITLE_IST_PUB_CHANGE)</f>
        <v/>
      </c>
      <c r="AE32" s="1276"/>
      <c r="AF32" s="1276"/>
      <c r="AG32" s="1276"/>
      <c r="AH32" s="1276"/>
      <c r="AI32" s="1276"/>
      <c r="AJ32" s="1276"/>
      <c r="AK32" s="10"/>
      <c r="AL32" s="10"/>
      <c r="AM32" s="160"/>
      <c r="AN32" s="66"/>
      <c r="AO32" s="66"/>
      <c r="AP32" s="66"/>
      <c r="AQ32" s="66"/>
      <c r="AR32" s="66"/>
      <c r="AS32" s="34">
        <v>0</v>
      </c>
    </row>
    <row r="33" spans="1:45" ht="14.25" customHeight="1">
      <c r="Q33" s="27"/>
      <c r="R33" s="27"/>
      <c r="S33" s="736"/>
      <c r="T33" s="9"/>
      <c r="U33" s="9"/>
      <c r="V33" s="186"/>
      <c r="W33" s="186"/>
      <c r="X33" s="186"/>
      <c r="Y33" s="186"/>
      <c r="Z33" s="186"/>
      <c r="AA33" s="186"/>
      <c r="AB33" s="186"/>
      <c r="AC33" s="186"/>
      <c r="AD33" s="186"/>
      <c r="AE33" s="186"/>
      <c r="AF33" s="186"/>
      <c r="AG33" s="186"/>
      <c r="AH33" s="186"/>
      <c r="AI33" s="186"/>
      <c r="AJ33" s="186"/>
      <c r="AK33" s="186"/>
      <c r="AS33" s="10">
        <v>0</v>
      </c>
    </row>
    <row r="34" spans="1:45" s="34" customFormat="1" ht="18.75" customHeight="1">
      <c r="A34" s="79"/>
      <c r="B34" s="79"/>
      <c r="C34" s="79"/>
      <c r="D34" s="79"/>
      <c r="E34" s="79"/>
      <c r="F34" s="79"/>
      <c r="G34" s="79"/>
      <c r="H34" s="79"/>
      <c r="I34" s="79"/>
      <c r="J34" s="79"/>
      <c r="K34" s="79"/>
      <c r="L34" s="767"/>
      <c r="M34" s="79"/>
      <c r="N34" s="79"/>
      <c r="O34" s="79"/>
      <c r="S34" s="1274" t="s">
        <v>423</v>
      </c>
      <c r="T34" s="1274"/>
      <c r="U34" s="770"/>
      <c r="V34" s="1275">
        <f>IF(TITLE_DATE_PR_CHANGE="",IF(TITLE_DATE_PR="","",TITLE_DATE_PR),TITLE_DATE_PR_CHANGE)</f>
        <v>45805</v>
      </c>
      <c r="W34" s="1275"/>
      <c r="X34" s="1275"/>
      <c r="Y34" s="1275"/>
      <c r="Z34" s="1275"/>
      <c r="AA34" s="1275"/>
      <c r="AB34" s="1275"/>
      <c r="AC34" s="10"/>
      <c r="AD34" s="1275">
        <f>IF(TITLE_DATE_PR_CHANGE="",IF(TITLE_DATE_PR="","",TITLE_DATE_PR),TITLE_DATE_PR_CHANGE)</f>
        <v>45805</v>
      </c>
      <c r="AE34" s="1275"/>
      <c r="AF34" s="1275"/>
      <c r="AG34" s="1275"/>
      <c r="AH34" s="1275"/>
      <c r="AI34" s="1275"/>
      <c r="AJ34" s="1275"/>
      <c r="AK34" s="10"/>
      <c r="AL34" s="10"/>
      <c r="AM34" s="160"/>
      <c r="AN34" s="66"/>
      <c r="AO34" s="66"/>
      <c r="AP34" s="66"/>
      <c r="AQ34" s="66"/>
      <c r="AR34" s="66"/>
      <c r="AS34" s="34">
        <v>0</v>
      </c>
    </row>
    <row r="35" spans="1:45" s="34" customFormat="1" ht="18.75" customHeight="1">
      <c r="A35" s="79"/>
      <c r="B35" s="79"/>
      <c r="C35" s="79"/>
      <c r="D35" s="79"/>
      <c r="E35" s="79"/>
      <c r="F35" s="79"/>
      <c r="G35" s="79"/>
      <c r="H35" s="79"/>
      <c r="I35" s="79"/>
      <c r="J35" s="79"/>
      <c r="K35" s="79"/>
      <c r="L35" s="767"/>
      <c r="M35" s="79"/>
      <c r="N35" s="79"/>
      <c r="O35" s="79"/>
      <c r="S35" s="1274" t="s">
        <v>424</v>
      </c>
      <c r="T35" s="1274"/>
      <c r="U35" s="770"/>
      <c r="V35" s="1276" t="str">
        <f>IF(TITLE_NUMBER_PR_CHANGE="",IF(TITLE_NUMBER_PR="","",TITLE_NUMBER_PR),TITLE_NUMBER_PR_CHANGE)</f>
        <v>2496</v>
      </c>
      <c r="W35" s="1276"/>
      <c r="X35" s="1276"/>
      <c r="Y35" s="1276"/>
      <c r="Z35" s="1276"/>
      <c r="AA35" s="1276"/>
      <c r="AB35" s="1276"/>
      <c r="AC35" s="10"/>
      <c r="AD35" s="1276" t="str">
        <f>IF(TITLE_NUMBER_PR_CHANGE="",IF(TITLE_NUMBER_PR="","",TITLE_NUMBER_PR),TITLE_NUMBER_PR_CHANGE)</f>
        <v>2496</v>
      </c>
      <c r="AE35" s="1276"/>
      <c r="AF35" s="1276"/>
      <c r="AG35" s="1276"/>
      <c r="AH35" s="1276"/>
      <c r="AI35" s="1276"/>
      <c r="AJ35" s="1276"/>
      <c r="AK35" s="10"/>
      <c r="AL35" s="10"/>
      <c r="AM35" s="160"/>
      <c r="AN35" s="66"/>
      <c r="AO35" s="66"/>
      <c r="AP35" s="66"/>
      <c r="AQ35" s="66"/>
      <c r="AR35" s="66"/>
      <c r="AS35" s="34">
        <v>0</v>
      </c>
    </row>
    <row r="36" spans="1:45" s="34" customFormat="1" ht="0" hidden="1" customHeight="1">
      <c r="A36" s="79"/>
      <c r="B36" s="79"/>
      <c r="C36" s="79"/>
      <c r="D36" s="79"/>
      <c r="E36" s="79"/>
      <c r="F36" s="79"/>
      <c r="G36" s="79"/>
      <c r="H36" s="79"/>
      <c r="I36" s="79"/>
      <c r="J36" s="79"/>
      <c r="K36" s="79"/>
      <c r="L36" s="767"/>
      <c r="M36" s="79"/>
      <c r="N36" s="79"/>
      <c r="O36" s="79"/>
      <c r="S36" s="10"/>
      <c r="T36" s="10"/>
      <c r="U36" s="75"/>
      <c r="V36" s="10"/>
      <c r="W36" s="10"/>
      <c r="X36" s="10"/>
      <c r="Y36" s="10"/>
      <c r="Z36" s="10"/>
      <c r="AA36" s="10"/>
      <c r="AB36" s="10"/>
      <c r="AC36" s="65" t="s">
        <v>425</v>
      </c>
      <c r="AD36" s="10"/>
      <c r="AE36" s="10"/>
      <c r="AF36" s="10"/>
      <c r="AG36" s="10"/>
      <c r="AH36" s="10"/>
      <c r="AI36" s="10"/>
      <c r="AJ36" s="10"/>
      <c r="AK36" s="65" t="s">
        <v>425</v>
      </c>
      <c r="AN36" s="66"/>
      <c r="AO36" s="66"/>
      <c r="AP36" s="66"/>
      <c r="AQ36" s="66"/>
      <c r="AR36" s="66"/>
      <c r="AS36" s="34">
        <v>0</v>
      </c>
    </row>
    <row r="37" spans="1:45" ht="14.65" customHeight="1">
      <c r="Q37" s="27"/>
      <c r="R37" s="27"/>
      <c r="S37" s="736"/>
      <c r="T37" s="9"/>
      <c r="U37" s="717"/>
      <c r="V37" s="1295"/>
      <c r="W37" s="1295"/>
      <c r="X37" s="1295"/>
      <c r="Y37" s="1295"/>
      <c r="Z37" s="1295"/>
      <c r="AA37" s="1295"/>
      <c r="AB37" s="1295"/>
      <c r="AC37" s="1295"/>
      <c r="AD37" s="1295"/>
      <c r="AE37" s="1295"/>
      <c r="AF37" s="1295"/>
      <c r="AG37" s="1295"/>
      <c r="AH37" s="1295"/>
      <c r="AI37" s="1295"/>
      <c r="AJ37" s="1295"/>
      <c r="AK37" s="1295"/>
      <c r="AS37" s="10">
        <v>14</v>
      </c>
    </row>
    <row r="38" spans="1:45" ht="14.65" customHeight="1">
      <c r="Q38" s="27"/>
      <c r="R38" s="27"/>
      <c r="S38" s="1146" t="s">
        <v>300</v>
      </c>
      <c r="T38" s="1146"/>
      <c r="U38" s="1146"/>
      <c r="V38" s="1146"/>
      <c r="W38" s="1146"/>
      <c r="X38" s="1146"/>
      <c r="Y38" s="1146"/>
      <c r="Z38" s="1146"/>
      <c r="AA38" s="1146"/>
      <c r="AB38" s="1146"/>
      <c r="AC38" s="1146"/>
      <c r="AD38" s="1146"/>
      <c r="AE38" s="1146"/>
      <c r="AF38" s="1146"/>
      <c r="AG38" s="1146"/>
      <c r="AH38" s="1146"/>
      <c r="AI38" s="1146"/>
      <c r="AJ38" s="1146"/>
      <c r="AK38" s="1146"/>
      <c r="AL38" s="1146"/>
      <c r="AM38" s="1146" t="s">
        <v>301</v>
      </c>
      <c r="AS38" s="10">
        <v>14</v>
      </c>
    </row>
    <row r="39" spans="1:45" ht="14.65" customHeight="1">
      <c r="Q39" s="27"/>
      <c r="R39" s="27"/>
      <c r="S39" s="1296" t="s">
        <v>86</v>
      </c>
      <c r="T39" s="1244" t="s">
        <v>426</v>
      </c>
      <c r="U39" s="169"/>
      <c r="V39" s="1297" t="s">
        <v>427</v>
      </c>
      <c r="W39" s="1298"/>
      <c r="X39" s="1298"/>
      <c r="Y39" s="1298"/>
      <c r="Z39" s="1298"/>
      <c r="AA39" s="1298"/>
      <c r="AB39" s="1299"/>
      <c r="AC39" s="1300" t="s">
        <v>428</v>
      </c>
      <c r="AD39" s="1297" t="s">
        <v>427</v>
      </c>
      <c r="AE39" s="1298"/>
      <c r="AF39" s="1298"/>
      <c r="AG39" s="1298"/>
      <c r="AH39" s="1298"/>
      <c r="AI39" s="1298"/>
      <c r="AJ39" s="1299"/>
      <c r="AK39" s="1300" t="s">
        <v>429</v>
      </c>
      <c r="AL39" s="1303" t="s">
        <v>430</v>
      </c>
      <c r="AM39" s="1146"/>
      <c r="AS39" s="10">
        <v>14</v>
      </c>
    </row>
    <row r="40" spans="1:45" ht="35.65" customHeight="1">
      <c r="Q40" s="27"/>
      <c r="R40" s="27"/>
      <c r="S40" s="1296"/>
      <c r="T40" s="1244"/>
      <c r="U40" s="604"/>
      <c r="V40" s="1216" t="s">
        <v>431</v>
      </c>
      <c r="W40" s="1292"/>
      <c r="X40" s="1128" t="s">
        <v>433</v>
      </c>
      <c r="Y40" s="1127"/>
      <c r="Z40" s="1128" t="s">
        <v>434</v>
      </c>
      <c r="AA40" s="1133"/>
      <c r="AB40" s="1127"/>
      <c r="AC40" s="1301"/>
      <c r="AD40" s="1216" t="s">
        <v>447</v>
      </c>
      <c r="AE40" s="1292"/>
      <c r="AF40" s="1128" t="s">
        <v>433</v>
      </c>
      <c r="AG40" s="1127"/>
      <c r="AH40" s="1128" t="s">
        <v>434</v>
      </c>
      <c r="AI40" s="1133"/>
      <c r="AJ40" s="1127"/>
      <c r="AK40" s="1301"/>
      <c r="AL40" s="1304"/>
      <c r="AM40" s="1146"/>
      <c r="AS40" s="10">
        <v>34</v>
      </c>
    </row>
    <row r="41" spans="1:45" ht="35.65" customHeight="1">
      <c r="A41" s="79"/>
      <c r="B41" s="79" t="s">
        <v>133</v>
      </c>
      <c r="C41" s="79" t="s">
        <v>134</v>
      </c>
      <c r="D41" s="79" t="s">
        <v>135</v>
      </c>
      <c r="E41" s="767" t="s">
        <v>435</v>
      </c>
      <c r="F41" s="767" t="s">
        <v>436</v>
      </c>
      <c r="G41" s="767" t="s">
        <v>437</v>
      </c>
      <c r="H41" s="767" t="s">
        <v>438</v>
      </c>
      <c r="I41" s="767" t="s">
        <v>439</v>
      </c>
      <c r="J41" s="767" t="s">
        <v>440</v>
      </c>
      <c r="K41" s="767" t="s">
        <v>441</v>
      </c>
      <c r="L41" s="767" t="s">
        <v>416</v>
      </c>
      <c r="Q41" s="27"/>
      <c r="R41" s="27"/>
      <c r="S41" s="1296"/>
      <c r="T41" s="1244"/>
      <c r="U41" s="170"/>
      <c r="V41" s="1269"/>
      <c r="W41" s="1293"/>
      <c r="X41" s="38" t="s">
        <v>442</v>
      </c>
      <c r="Y41" s="38" t="s">
        <v>443</v>
      </c>
      <c r="Z41" s="38" t="s">
        <v>444</v>
      </c>
      <c r="AA41" s="1249" t="s">
        <v>445</v>
      </c>
      <c r="AB41" s="1263"/>
      <c r="AC41" s="1302"/>
      <c r="AD41" s="1269"/>
      <c r="AE41" s="1293"/>
      <c r="AF41" s="38" t="s">
        <v>442</v>
      </c>
      <c r="AG41" s="38" t="s">
        <v>443</v>
      </c>
      <c r="AH41" s="38" t="s">
        <v>444</v>
      </c>
      <c r="AI41" s="1249" t="s">
        <v>445</v>
      </c>
      <c r="AJ41" s="1263"/>
      <c r="AK41" s="1302"/>
      <c r="AL41" s="1305"/>
      <c r="AM41" s="1146"/>
      <c r="AS41" s="10">
        <v>34</v>
      </c>
    </row>
    <row r="42" spans="1:45" s="200" customFormat="1" ht="11.25" hidden="1" customHeight="1">
      <c r="A42" s="79"/>
      <c r="B42" s="79"/>
      <c r="C42" s="79"/>
      <c r="D42" s="79"/>
      <c r="E42" s="79"/>
      <c r="F42" s="79"/>
      <c r="G42" s="79"/>
      <c r="H42" s="79"/>
      <c r="I42" s="79"/>
      <c r="J42" s="79"/>
      <c r="K42" s="79"/>
      <c r="L42" s="767"/>
      <c r="M42" s="503"/>
      <c r="N42" s="503"/>
      <c r="O42" s="503"/>
      <c r="P42" s="719"/>
      <c r="Q42" s="720"/>
      <c r="R42" s="722">
        <v>1</v>
      </c>
      <c r="S42" s="738" t="s">
        <v>107</v>
      </c>
      <c r="T42" s="723" t="s">
        <v>108</v>
      </c>
      <c r="U42" s="718" t="str">
        <f ca="1">OFFSET(U42,0,-1)</f>
        <v>2</v>
      </c>
      <c r="V42" s="724">
        <f ca="1">OFFSET(V42,0,-1)+1</f>
        <v>3</v>
      </c>
      <c r="W42" s="724"/>
      <c r="X42" s="724">
        <f ca="1">OFFSET(X42,0,-1)+1</f>
        <v>1</v>
      </c>
      <c r="Y42" s="724">
        <f ca="1">OFFSET(Y42,0,-1)+1</f>
        <v>2</v>
      </c>
      <c r="Z42" s="724">
        <f ca="1">OFFSET(Z42,0,-1)+1</f>
        <v>3</v>
      </c>
      <c r="AA42" s="1294">
        <f ca="1">OFFSET(AA42,0,-1)+1</f>
        <v>4</v>
      </c>
      <c r="AB42" s="1294"/>
      <c r="AC42" s="724">
        <f ca="1">OFFSET(AC42,0,-2)+1</f>
        <v>5</v>
      </c>
      <c r="AD42" s="724">
        <f ca="1">OFFSET(AD42,0,-1)+1</f>
        <v>6</v>
      </c>
      <c r="AE42" s="724"/>
      <c r="AF42" s="724">
        <f ca="1">OFFSET(AF42,0,-1)+1</f>
        <v>1</v>
      </c>
      <c r="AG42" s="724">
        <f ca="1">OFFSET(AG42,0,-1)+1</f>
        <v>2</v>
      </c>
      <c r="AH42" s="724">
        <f ca="1">OFFSET(AH42,0,-1)+1</f>
        <v>3</v>
      </c>
      <c r="AI42" s="1294">
        <f ca="1">OFFSET(AI42,0,-1)+1</f>
        <v>4</v>
      </c>
      <c r="AJ42" s="1294"/>
      <c r="AK42" s="724">
        <f ca="1">OFFSET(AK42,0,-2)+1</f>
        <v>5</v>
      </c>
      <c r="AL42" s="718">
        <f ca="1">OFFSET(AL42,0,-1)</f>
        <v>5</v>
      </c>
      <c r="AM42" s="724">
        <f ca="1">OFFSET(AM42,0,-1)+1</f>
        <v>6</v>
      </c>
      <c r="AN42" s="65"/>
      <c r="AO42" s="65"/>
      <c r="AP42" s="65"/>
      <c r="AQ42" s="65"/>
      <c r="AR42" s="65"/>
      <c r="AS42" s="200">
        <v>0</v>
      </c>
    </row>
    <row r="43" spans="1:45" ht="21.95" customHeight="1">
      <c r="A43" s="766" t="s">
        <v>178</v>
      </c>
      <c r="B43" s="766"/>
      <c r="C43" s="766"/>
      <c r="D43" s="766"/>
      <c r="E43" s="1283">
        <v>1</v>
      </c>
      <c r="F43" s="766"/>
      <c r="G43" s="766"/>
      <c r="H43" s="766"/>
      <c r="I43" s="766"/>
      <c r="J43" s="766"/>
      <c r="K43" s="766"/>
      <c r="L43" s="767"/>
      <c r="M43" s="423"/>
      <c r="N43" s="423"/>
      <c r="O43" s="423"/>
      <c r="Q43" s="33"/>
      <c r="R43" s="204"/>
      <c r="S43" s="706">
        <f>INDEX(PT_DIFFERENTIATION_NUM_NTAR,MATCH(A43,PT_DIFFERENTIATION_NTAR_ID,0))</f>
        <v>0</v>
      </c>
      <c r="T43" s="64" t="s">
        <v>121</v>
      </c>
      <c r="U43" s="168"/>
      <c r="V43" s="1277"/>
      <c r="W43" s="1278"/>
      <c r="X43" s="1278"/>
      <c r="Y43" s="1278"/>
      <c r="Z43" s="1278"/>
      <c r="AA43" s="1278"/>
      <c r="AB43" s="1278"/>
      <c r="AC43" s="1279"/>
      <c r="AD43" s="1277" t="str">
        <f>INDEX(PT_DIFFERENTIATION_NTAR,MATCH(A43,PT_DIFFERENTIATION_NTAR_ID,0))</f>
        <v/>
      </c>
      <c r="AE43" s="1278"/>
      <c r="AF43" s="1278"/>
      <c r="AG43" s="1278"/>
      <c r="AH43" s="1278"/>
      <c r="AI43" s="1278"/>
      <c r="AJ43" s="1278"/>
      <c r="AK43" s="1278"/>
      <c r="AL43" s="1279"/>
      <c r="AM43" s="72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66" t="s">
        <v>178</v>
      </c>
      <c r="B44" s="766" t="s">
        <v>179</v>
      </c>
      <c r="C44" s="766"/>
      <c r="D44" s="766"/>
      <c r="E44" s="1284"/>
      <c r="F44" s="1283">
        <v>1</v>
      </c>
      <c r="G44" s="766"/>
      <c r="H44" s="766"/>
      <c r="I44" s="766"/>
      <c r="J44" s="766"/>
      <c r="K44" s="766"/>
      <c r="L44" s="767"/>
      <c r="M44" s="423"/>
      <c r="N44" s="423"/>
      <c r="O44" s="423"/>
      <c r="P44" s="56"/>
      <c r="Q44" s="201"/>
      <c r="R44" s="202"/>
      <c r="S44" s="706" t="str">
        <f>INDEX(PT_DIFFERENTIATION_NUM_TER,MATCH(B44,PT_DIFFERENTIATION_TER_ID,0))</f>
        <v>.</v>
      </c>
      <c r="T44" s="174" t="s">
        <v>397</v>
      </c>
      <c r="U44" s="168"/>
      <c r="V44" s="1277"/>
      <c r="W44" s="1278"/>
      <c r="X44" s="1278"/>
      <c r="Y44" s="1278"/>
      <c r="Z44" s="1278"/>
      <c r="AA44" s="1278"/>
      <c r="AB44" s="1278"/>
      <c r="AC44" s="1279"/>
      <c r="AD44" s="1277" t="str">
        <f>INDEX(PT_DIFFERENTIATION_TER,MATCH(B44,PT_DIFFERENTIATION_TER_ID,0))</f>
        <v/>
      </c>
      <c r="AE44" s="1278"/>
      <c r="AF44" s="1278"/>
      <c r="AG44" s="1278"/>
      <c r="AH44" s="1278"/>
      <c r="AI44" s="1278"/>
      <c r="AJ44" s="1278"/>
      <c r="AK44" s="1278"/>
      <c r="AL44" s="1279"/>
      <c r="AM44" s="726" t="s">
        <v>398</v>
      </c>
      <c r="AO44" s="66"/>
      <c r="AP44" s="66" t="str">
        <f t="shared" si="1"/>
        <v>Территория действия тарифа</v>
      </c>
      <c r="AQ44" s="66"/>
      <c r="AR44" s="66"/>
      <c r="AS44" s="10">
        <v>21</v>
      </c>
    </row>
    <row r="45" spans="1:45" ht="24" customHeight="1">
      <c r="A45" s="766" t="s">
        <v>178</v>
      </c>
      <c r="B45" s="766" t="s">
        <v>179</v>
      </c>
      <c r="C45" s="766" t="s">
        <v>180</v>
      </c>
      <c r="D45" s="766"/>
      <c r="E45" s="1284"/>
      <c r="F45" s="1284"/>
      <c r="G45" s="1283">
        <v>1</v>
      </c>
      <c r="H45" s="766"/>
      <c r="I45" s="766"/>
      <c r="J45" s="766"/>
      <c r="K45" s="766"/>
      <c r="L45" s="767"/>
      <c r="M45" s="423"/>
      <c r="N45" s="423"/>
      <c r="O45" s="423"/>
      <c r="P45" s="203"/>
      <c r="Q45" s="201"/>
      <c r="R45" s="202"/>
      <c r="S45" s="706" t="str">
        <f>INDEX(PT_DIFFERENTIATION_NUM_CS,MATCH(C45,PT_DIFFERENTIATION_CS_ID,0))</f>
        <v>..</v>
      </c>
      <c r="T45" s="175" t="s">
        <v>399</v>
      </c>
      <c r="U45" s="168"/>
      <c r="V45" s="1277"/>
      <c r="W45" s="1278"/>
      <c r="X45" s="1278"/>
      <c r="Y45" s="1278"/>
      <c r="Z45" s="1278"/>
      <c r="AA45" s="1278"/>
      <c r="AB45" s="1278"/>
      <c r="AC45" s="1279"/>
      <c r="AD45" s="1277" t="str">
        <f>INDEX(PT_DIFFERENTIATION_CS,MATCH(C45,PT_DIFFERENTIATION_CS_ID,0))</f>
        <v/>
      </c>
      <c r="AE45" s="1278"/>
      <c r="AF45" s="1278"/>
      <c r="AG45" s="1278"/>
      <c r="AH45" s="1278"/>
      <c r="AI45" s="1278"/>
      <c r="AJ45" s="1278"/>
      <c r="AK45" s="1278"/>
      <c r="AL45" s="1279"/>
      <c r="AM45" s="726" t="s">
        <v>400</v>
      </c>
      <c r="AO45" s="66"/>
      <c r="AP45" s="66" t="str">
        <f t="shared" si="1"/>
        <v xml:space="preserve">Наименование системы теплоснабжения </v>
      </c>
      <c r="AQ45" s="66"/>
      <c r="AR45" s="66"/>
      <c r="AS45" s="10">
        <v>23</v>
      </c>
    </row>
    <row r="46" spans="1:45" ht="21.95" customHeight="1">
      <c r="A46" s="766" t="s">
        <v>178</v>
      </c>
      <c r="B46" s="766" t="s">
        <v>179</v>
      </c>
      <c r="C46" s="766" t="s">
        <v>180</v>
      </c>
      <c r="D46" s="766" t="s">
        <v>181</v>
      </c>
      <c r="E46" s="1284"/>
      <c r="F46" s="1284"/>
      <c r="G46" s="1284"/>
      <c r="H46" s="1283">
        <v>1</v>
      </c>
      <c r="I46" s="766"/>
      <c r="J46" s="766"/>
      <c r="K46" s="766"/>
      <c r="L46" s="767"/>
      <c r="M46" s="423"/>
      <c r="N46" s="423"/>
      <c r="O46" s="423"/>
      <c r="P46" s="203"/>
      <c r="Q46" s="201"/>
      <c r="R46" s="202"/>
      <c r="S46" s="706" t="str">
        <f>INDEX(PT_DIFFERENTIATION_NUM_IST_TE,MATCH(D46,PT_DIFFERENTIATION_IST_TE_ID,0))</f>
        <v>...</v>
      </c>
      <c r="T46" s="176" t="s">
        <v>401</v>
      </c>
      <c r="U46" s="168"/>
      <c r="V46" s="1277"/>
      <c r="W46" s="1278"/>
      <c r="X46" s="1278"/>
      <c r="Y46" s="1278"/>
      <c r="Z46" s="1278"/>
      <c r="AA46" s="1278"/>
      <c r="AB46" s="1278"/>
      <c r="AC46" s="1279"/>
      <c r="AD46" s="1277" t="str">
        <f>INDEX(PT_DIFFERENTIATION_IST_TE,MATCH(D46,PT_DIFFERENTIATION_IST_TE_ID,0))</f>
        <v/>
      </c>
      <c r="AE46" s="1278"/>
      <c r="AF46" s="1278"/>
      <c r="AG46" s="1278"/>
      <c r="AH46" s="1278"/>
      <c r="AI46" s="1278"/>
      <c r="AJ46" s="1278"/>
      <c r="AK46" s="1278"/>
      <c r="AL46" s="1279"/>
      <c r="AM46" s="726" t="s">
        <v>402</v>
      </c>
      <c r="AO46" s="66"/>
      <c r="AP46" s="66" t="str">
        <f t="shared" si="1"/>
        <v xml:space="preserve">Источник тепловой энергии  </v>
      </c>
      <c r="AQ46" s="66"/>
      <c r="AR46" s="66"/>
      <c r="AS46" s="10">
        <v>21</v>
      </c>
    </row>
    <row r="47" spans="1:45" s="65" customFormat="1" ht="0" hidden="1" customHeight="1">
      <c r="A47" s="142" t="s">
        <v>178</v>
      </c>
      <c r="B47" s="142" t="s">
        <v>179</v>
      </c>
      <c r="C47" s="142" t="s">
        <v>180</v>
      </c>
      <c r="D47" s="142" t="s">
        <v>181</v>
      </c>
      <c r="E47" s="1284"/>
      <c r="F47" s="1284"/>
      <c r="G47" s="1284"/>
      <c r="H47" s="1284"/>
      <c r="I47" s="1285" t="str">
        <f>S46&amp;".1"</f>
        <v>....1</v>
      </c>
      <c r="J47" s="142"/>
      <c r="K47" s="142"/>
      <c r="L47" s="343" t="s">
        <v>403</v>
      </c>
      <c r="M47" s="287"/>
      <c r="N47" s="287"/>
      <c r="O47" s="287"/>
      <c r="P47" s="1287">
        <v>1</v>
      </c>
      <c r="Q47" s="119"/>
      <c r="R47" s="205"/>
      <c r="S47" s="359"/>
      <c r="T47" s="776"/>
      <c r="U47" s="777"/>
      <c r="V47" s="1314"/>
      <c r="W47" s="1315"/>
      <c r="X47" s="1315"/>
      <c r="Y47" s="1315"/>
      <c r="Z47" s="1315"/>
      <c r="AA47" s="1315"/>
      <c r="AB47" s="1315"/>
      <c r="AC47" s="1316"/>
      <c r="AD47" s="1314"/>
      <c r="AE47" s="1315"/>
      <c r="AF47" s="1315"/>
      <c r="AG47" s="1315"/>
      <c r="AH47" s="1315"/>
      <c r="AI47" s="1315"/>
      <c r="AJ47" s="1315"/>
      <c r="AK47" s="1315"/>
      <c r="AL47" s="1316"/>
      <c r="AM47" s="778"/>
      <c r="AO47" s="66"/>
      <c r="AP47" s="66" t="str">
        <f t="shared" si="1"/>
        <v/>
      </c>
      <c r="AQ47" s="66"/>
      <c r="AR47" s="66"/>
      <c r="AS47" s="65">
        <v>0</v>
      </c>
    </row>
    <row r="48" spans="1:45" ht="21.95" customHeight="1">
      <c r="A48" s="766" t="s">
        <v>178</v>
      </c>
      <c r="B48" s="766" t="s">
        <v>179</v>
      </c>
      <c r="C48" s="766" t="s">
        <v>180</v>
      </c>
      <c r="D48" s="766" t="s">
        <v>181</v>
      </c>
      <c r="E48" s="1284"/>
      <c r="F48" s="1284"/>
      <c r="G48" s="1284"/>
      <c r="H48" s="1284"/>
      <c r="I48" s="1286"/>
      <c r="J48" s="1285" t="str">
        <f>S46&amp;".1"</f>
        <v>....1</v>
      </c>
      <c r="K48" s="766"/>
      <c r="L48" s="767" t="s">
        <v>406</v>
      </c>
      <c r="P48" s="1287"/>
      <c r="Q48" s="1287">
        <v>1</v>
      </c>
      <c r="R48" s="206"/>
      <c r="S48" s="706" t="str">
        <f>$J48</f>
        <v>....1</v>
      </c>
      <c r="T48" s="162" t="s">
        <v>407</v>
      </c>
      <c r="U48" s="168"/>
      <c r="V48" s="1271"/>
      <c r="W48" s="1272"/>
      <c r="X48" s="1272"/>
      <c r="Y48" s="1272"/>
      <c r="Z48" s="1272"/>
      <c r="AA48" s="1272"/>
      <c r="AB48" s="1272"/>
      <c r="AC48" s="1273"/>
      <c r="AD48" s="1271"/>
      <c r="AE48" s="1272"/>
      <c r="AF48" s="1272"/>
      <c r="AG48" s="1272"/>
      <c r="AH48" s="1272"/>
      <c r="AI48" s="1272"/>
      <c r="AJ48" s="1272"/>
      <c r="AK48" s="1272"/>
      <c r="AL48" s="1273"/>
      <c r="AM48" s="726" t="s">
        <v>408</v>
      </c>
      <c r="AO48" s="66"/>
      <c r="AP48" s="66" t="str">
        <f t="shared" si="1"/>
        <v>Группа потребителей</v>
      </c>
      <c r="AQ48" s="66"/>
      <c r="AR48" s="66"/>
      <c r="AS48" s="10">
        <v>21</v>
      </c>
    </row>
    <row r="49" spans="1:45" ht="21.95" customHeight="1">
      <c r="A49" s="766" t="s">
        <v>178</v>
      </c>
      <c r="B49" s="766" t="s">
        <v>179</v>
      </c>
      <c r="C49" s="766" t="s">
        <v>180</v>
      </c>
      <c r="D49" s="766" t="s">
        <v>181</v>
      </c>
      <c r="E49" s="1284"/>
      <c r="F49" s="1284"/>
      <c r="G49" s="1284"/>
      <c r="H49" s="1284"/>
      <c r="I49" s="1286"/>
      <c r="J49" s="1286"/>
      <c r="K49" s="1285" t="str">
        <f>J48&amp;".1"</f>
        <v>....1.1</v>
      </c>
      <c r="L49" s="767" t="s">
        <v>409</v>
      </c>
      <c r="P49" s="1287"/>
      <c r="Q49" s="1287"/>
      <c r="R49" s="206">
        <v>1</v>
      </c>
      <c r="S49" s="706" t="str">
        <f>$K49</f>
        <v>....1.1</v>
      </c>
      <c r="T49" s="762"/>
      <c r="U49" s="168"/>
      <c r="V49" s="303"/>
      <c r="W49" s="188"/>
      <c r="X49" s="303"/>
      <c r="Y49" s="725"/>
      <c r="Z49" s="1288"/>
      <c r="AA49" s="1156" t="s">
        <v>64</v>
      </c>
      <c r="AB49" s="1288"/>
      <c r="AC49" s="1156" t="s">
        <v>64</v>
      </c>
      <c r="AD49" s="303"/>
      <c r="AE49" s="188"/>
      <c r="AF49" s="303"/>
      <c r="AG49" s="725"/>
      <c r="AH49" s="1288"/>
      <c r="AI49" s="1156" t="s">
        <v>64</v>
      </c>
      <c r="AJ49" s="1290"/>
      <c r="AK49" s="1156" t="s">
        <v>64</v>
      </c>
      <c r="AL49" s="763"/>
      <c r="AM49" s="1306" t="s">
        <v>448</v>
      </c>
      <c r="AN49" s="65" t="e">
        <f ca="1">STRCHECKDATE(V50:AL50)</f>
        <v>#NAME?</v>
      </c>
      <c r="AO49" s="66"/>
      <c r="AP49" s="66" t="str">
        <f t="shared" si="1"/>
        <v/>
      </c>
      <c r="AQ49" s="66"/>
      <c r="AR49" s="66"/>
      <c r="AS49" s="10">
        <v>21</v>
      </c>
    </row>
    <row r="50" spans="1:45" ht="1.1499999999999999" customHeight="1">
      <c r="A50" s="766" t="s">
        <v>178</v>
      </c>
      <c r="B50" s="766" t="s">
        <v>179</v>
      </c>
      <c r="C50" s="766" t="s">
        <v>180</v>
      </c>
      <c r="D50" s="766" t="s">
        <v>181</v>
      </c>
      <c r="E50" s="1284"/>
      <c r="F50" s="1284"/>
      <c r="G50" s="1284"/>
      <c r="H50" s="1284"/>
      <c r="I50" s="1286"/>
      <c r="J50" s="1286"/>
      <c r="K50" s="1285"/>
      <c r="L50" s="767"/>
      <c r="P50" s="1287"/>
      <c r="Q50" s="1287"/>
      <c r="R50" s="206"/>
      <c r="S50" s="62"/>
      <c r="T50" s="168"/>
      <c r="U50" s="168"/>
      <c r="V50" s="188"/>
      <c r="W50" s="188"/>
      <c r="X50" s="188"/>
      <c r="Y50" s="189" t="str">
        <f>Z49&amp;"-"&amp;AB49</f>
        <v>-</v>
      </c>
      <c r="Z50" s="1289"/>
      <c r="AA50" s="1156"/>
      <c r="AB50" s="1289"/>
      <c r="AC50" s="1156"/>
      <c r="AD50" s="188"/>
      <c r="AE50" s="188"/>
      <c r="AF50" s="188"/>
      <c r="AG50" s="189" t="str">
        <f>AH49&amp;"-"&amp;AJ49</f>
        <v>-</v>
      </c>
      <c r="AH50" s="1289"/>
      <c r="AI50" s="1156"/>
      <c r="AJ50" s="1291"/>
      <c r="AK50" s="1156"/>
      <c r="AL50" s="764"/>
      <c r="AM50" s="1307"/>
      <c r="AO50" s="66"/>
      <c r="AP50" s="66" t="str">
        <f t="shared" si="1"/>
        <v/>
      </c>
      <c r="AQ50" s="66"/>
      <c r="AR50" s="66"/>
      <c r="AS50" s="10">
        <v>1</v>
      </c>
    </row>
    <row r="51" spans="1:45" ht="11.45" customHeight="1">
      <c r="A51" s="766" t="s">
        <v>178</v>
      </c>
      <c r="B51" s="766" t="s">
        <v>179</v>
      </c>
      <c r="C51" s="766" t="s">
        <v>180</v>
      </c>
      <c r="D51" s="766" t="s">
        <v>181</v>
      </c>
      <c r="E51" s="1284"/>
      <c r="F51" s="1284"/>
      <c r="G51" s="1284"/>
      <c r="H51" s="1284"/>
      <c r="I51" s="1286"/>
      <c r="J51" s="1285"/>
      <c r="K51" s="766"/>
      <c r="L51" s="767"/>
      <c r="P51" s="1287"/>
      <c r="Q51" s="1287"/>
      <c r="R51" s="205"/>
      <c r="S51" s="739"/>
      <c r="T51" s="163" t="s">
        <v>411</v>
      </c>
      <c r="U51" s="210"/>
      <c r="V51" s="210"/>
      <c r="W51" s="210"/>
      <c r="X51" s="210"/>
      <c r="Y51" s="210"/>
      <c r="Z51" s="210"/>
      <c r="AA51" s="210"/>
      <c r="AB51" s="210"/>
      <c r="AC51" s="210"/>
      <c r="AD51" s="210"/>
      <c r="AE51" s="210"/>
      <c r="AF51" s="210"/>
      <c r="AG51" s="210"/>
      <c r="AH51" s="210"/>
      <c r="AI51" s="210"/>
      <c r="AJ51" s="210"/>
      <c r="AK51" s="210"/>
      <c r="AL51" s="187"/>
      <c r="AM51" s="1308"/>
      <c r="AO51" s="66"/>
      <c r="AP51" s="66" t="str">
        <f t="shared" si="1"/>
        <v>Добавить вид теплоносителя (параметры теплоносителя)</v>
      </c>
      <c r="AQ51" s="66"/>
      <c r="AR51" s="66"/>
      <c r="AS51" s="10">
        <v>11</v>
      </c>
    </row>
    <row r="52" spans="1:45" ht="11.45" customHeight="1">
      <c r="A52" s="766" t="s">
        <v>178</v>
      </c>
      <c r="B52" s="766" t="s">
        <v>179</v>
      </c>
      <c r="C52" s="766" t="s">
        <v>180</v>
      </c>
      <c r="D52" s="766" t="s">
        <v>181</v>
      </c>
      <c r="E52" s="1284"/>
      <c r="F52" s="1284"/>
      <c r="G52" s="1284"/>
      <c r="H52" s="1284"/>
      <c r="I52" s="1285"/>
      <c r="J52" s="766"/>
      <c r="K52" s="766"/>
      <c r="L52" s="767"/>
      <c r="P52" s="1287"/>
      <c r="Q52" s="119"/>
      <c r="R52" s="205"/>
      <c r="S52" s="739"/>
      <c r="T52" s="208" t="s">
        <v>412</v>
      </c>
      <c r="U52" s="210"/>
      <c r="V52" s="210"/>
      <c r="W52" s="210"/>
      <c r="X52" s="210"/>
      <c r="Y52" s="210"/>
      <c r="Z52" s="210"/>
      <c r="AA52" s="210"/>
      <c r="AB52" s="210"/>
      <c r="AC52" s="209"/>
      <c r="AD52" s="210"/>
      <c r="AE52" s="210"/>
      <c r="AF52" s="210"/>
      <c r="AG52" s="210"/>
      <c r="AH52" s="210"/>
      <c r="AI52" s="210"/>
      <c r="AJ52" s="210"/>
      <c r="AK52" s="209"/>
      <c r="AL52" s="210"/>
      <c r="AM52" s="171"/>
      <c r="AO52" s="66"/>
      <c r="AP52" s="66" t="str">
        <f t="shared" si="1"/>
        <v>Добавить группу потребителей</v>
      </c>
      <c r="AQ52" s="66"/>
      <c r="AR52" s="66"/>
      <c r="AS52" s="10">
        <v>11</v>
      </c>
    </row>
    <row r="53" spans="1:45" ht="0" hidden="1" customHeight="1">
      <c r="A53" s="766" t="s">
        <v>178</v>
      </c>
      <c r="B53" s="766" t="s">
        <v>179</v>
      </c>
      <c r="C53" s="766" t="s">
        <v>180</v>
      </c>
      <c r="D53" s="766" t="s">
        <v>181</v>
      </c>
      <c r="E53" s="1284"/>
      <c r="F53" s="1284"/>
      <c r="G53" s="1284"/>
      <c r="H53" s="1283"/>
      <c r="I53" s="766"/>
      <c r="J53" s="766"/>
      <c r="K53" s="766"/>
      <c r="L53" s="767"/>
      <c r="M53" s="423"/>
      <c r="N53" s="423"/>
      <c r="O53" s="60"/>
      <c r="P53" s="33"/>
      <c r="Q53" s="213"/>
      <c r="R53" s="204"/>
      <c r="S53" s="779"/>
      <c r="T53" s="780"/>
      <c r="U53" s="781"/>
      <c r="V53" s="781"/>
      <c r="W53" s="781"/>
      <c r="X53" s="781"/>
      <c r="Y53" s="781"/>
      <c r="Z53" s="781"/>
      <c r="AA53" s="781"/>
      <c r="AB53" s="781"/>
      <c r="AC53" s="781"/>
      <c r="AD53" s="781"/>
      <c r="AE53" s="781"/>
      <c r="AF53" s="781"/>
      <c r="AG53" s="781"/>
      <c r="AH53" s="781"/>
      <c r="AI53" s="781"/>
      <c r="AJ53" s="781"/>
      <c r="AK53" s="781"/>
      <c r="AL53" s="781"/>
      <c r="AM53" s="782"/>
      <c r="AO53" s="66"/>
      <c r="AP53" s="66" t="str">
        <f t="shared" si="1"/>
        <v/>
      </c>
      <c r="AQ53" s="66"/>
      <c r="AR53" s="66"/>
      <c r="AS53" s="10">
        <v>0</v>
      </c>
    </row>
    <row r="54" spans="1:45" s="65" customFormat="1" ht="1.1499999999999999" customHeight="1">
      <c r="A54" s="142" t="s">
        <v>178</v>
      </c>
      <c r="B54" s="142" t="s">
        <v>179</v>
      </c>
      <c r="C54" s="142" t="s">
        <v>180</v>
      </c>
      <c r="D54" s="142"/>
      <c r="E54" s="1284"/>
      <c r="F54" s="1284"/>
      <c r="G54" s="1283"/>
      <c r="H54" s="142"/>
      <c r="I54" s="142"/>
      <c r="J54" s="142"/>
      <c r="K54" s="142"/>
      <c r="L54" s="343"/>
      <c r="M54" s="290"/>
      <c r="N54" s="290"/>
      <c r="P54" s="101"/>
      <c r="Q54" s="752"/>
      <c r="R54" s="101"/>
      <c r="S54" s="757"/>
      <c r="T54" s="759" t="s">
        <v>414</v>
      </c>
      <c r="U54" s="310"/>
      <c r="V54" s="310"/>
      <c r="W54" s="310"/>
      <c r="X54" s="310"/>
      <c r="Y54" s="310"/>
      <c r="Z54" s="310"/>
      <c r="AA54" s="310"/>
      <c r="AB54" s="310"/>
      <c r="AC54" s="310"/>
      <c r="AD54" s="310"/>
      <c r="AE54" s="310"/>
      <c r="AF54" s="310"/>
      <c r="AG54" s="310"/>
      <c r="AH54" s="310"/>
      <c r="AI54" s="310"/>
      <c r="AJ54" s="310"/>
      <c r="AK54" s="310"/>
      <c r="AL54" s="310"/>
      <c r="AM54" s="310"/>
      <c r="AO54" s="66"/>
      <c r="AP54" s="66" t="str">
        <f t="shared" si="1"/>
        <v>Добавить источник для дифференциации</v>
      </c>
      <c r="AQ54" s="66"/>
      <c r="AR54" s="66"/>
      <c r="AS54" s="65">
        <v>1</v>
      </c>
    </row>
    <row r="55" spans="1:45" s="65" customFormat="1" ht="1.1499999999999999" customHeight="1">
      <c r="A55" s="142" t="s">
        <v>178</v>
      </c>
      <c r="B55" s="142" t="s">
        <v>179</v>
      </c>
      <c r="C55" s="142"/>
      <c r="D55" s="142"/>
      <c r="E55" s="1284"/>
      <c r="F55" s="1283"/>
      <c r="G55" s="142"/>
      <c r="H55" s="142"/>
      <c r="I55" s="142"/>
      <c r="J55" s="142"/>
      <c r="K55" s="142"/>
      <c r="L55" s="343"/>
      <c r="M55" s="756"/>
      <c r="N55" s="756"/>
      <c r="P55" s="101"/>
      <c r="Q55" s="752"/>
      <c r="R55" s="101"/>
      <c r="S55" s="757"/>
      <c r="T55" s="759" t="s">
        <v>231</v>
      </c>
      <c r="U55" s="310"/>
      <c r="V55" s="310"/>
      <c r="W55" s="310"/>
      <c r="X55" s="310"/>
      <c r="Y55" s="310"/>
      <c r="Z55" s="310"/>
      <c r="AA55" s="310"/>
      <c r="AB55" s="310"/>
      <c r="AC55" s="310"/>
      <c r="AD55" s="310"/>
      <c r="AE55" s="310"/>
      <c r="AF55" s="310"/>
      <c r="AG55" s="310"/>
      <c r="AH55" s="310"/>
      <c r="AI55" s="310"/>
      <c r="AJ55" s="310"/>
      <c r="AK55" s="310"/>
      <c r="AL55" s="310"/>
      <c r="AM55" s="310"/>
      <c r="AO55" s="66"/>
      <c r="AP55" s="66" t="str">
        <f t="shared" si="1"/>
        <v>Добавить централизованную систему для дифференциации</v>
      </c>
      <c r="AQ55" s="66"/>
      <c r="AR55" s="66"/>
      <c r="AS55" s="65">
        <v>1</v>
      </c>
    </row>
    <row r="56" spans="1:45" s="65" customFormat="1" ht="1.1499999999999999" customHeight="1">
      <c r="A56" s="142" t="s">
        <v>178</v>
      </c>
      <c r="B56" s="142"/>
      <c r="C56" s="142"/>
      <c r="D56" s="142"/>
      <c r="E56" s="1283"/>
      <c r="F56" s="142"/>
      <c r="G56" s="142"/>
      <c r="H56" s="142"/>
      <c r="I56" s="142"/>
      <c r="J56" s="142"/>
      <c r="K56" s="142"/>
      <c r="L56" s="343"/>
      <c r="M56" s="756"/>
      <c r="N56" s="756"/>
      <c r="P56" s="101"/>
      <c r="Q56" s="752"/>
      <c r="R56" s="101"/>
      <c r="S56" s="757"/>
      <c r="T56" s="759" t="s">
        <v>232</v>
      </c>
      <c r="U56" s="310"/>
      <c r="V56" s="310"/>
      <c r="W56" s="310"/>
      <c r="X56" s="310"/>
      <c r="Y56" s="310"/>
      <c r="Z56" s="310"/>
      <c r="AA56" s="310"/>
      <c r="AB56" s="310"/>
      <c r="AC56" s="310"/>
      <c r="AD56" s="310"/>
      <c r="AE56" s="310"/>
      <c r="AF56" s="310"/>
      <c r="AG56" s="310"/>
      <c r="AH56" s="310"/>
      <c r="AI56" s="310"/>
      <c r="AJ56" s="310"/>
      <c r="AK56" s="310"/>
      <c r="AL56" s="310"/>
      <c r="AM56" s="310"/>
      <c r="AO56" s="66"/>
      <c r="AP56" s="66" t="str">
        <f t="shared" si="1"/>
        <v>Добавить территорию для дифференциации</v>
      </c>
      <c r="AQ56" s="66"/>
      <c r="AR56" s="66"/>
      <c r="AS56" s="65">
        <v>1</v>
      </c>
    </row>
    <row r="57" spans="1:45" s="65" customFormat="1" ht="1.1499999999999999" customHeight="1">
      <c r="A57" s="142"/>
      <c r="B57" s="142"/>
      <c r="C57" s="142"/>
      <c r="D57" s="142"/>
      <c r="E57" s="142"/>
      <c r="F57" s="142"/>
      <c r="G57" s="142"/>
      <c r="H57" s="142"/>
      <c r="I57" s="142"/>
      <c r="J57" s="142"/>
      <c r="K57" s="142"/>
      <c r="L57" s="343"/>
      <c r="M57" s="756"/>
      <c r="N57" s="756"/>
      <c r="P57" s="101"/>
      <c r="Q57" s="752"/>
      <c r="R57" s="101"/>
      <c r="S57" s="757"/>
      <c r="T57" s="759" t="s">
        <v>233</v>
      </c>
      <c r="U57" s="310"/>
      <c r="V57" s="310"/>
      <c r="W57" s="310"/>
      <c r="X57" s="310"/>
      <c r="Y57" s="310"/>
      <c r="Z57" s="310"/>
      <c r="AA57" s="310"/>
      <c r="AB57" s="310"/>
      <c r="AC57" s="310"/>
      <c r="AD57" s="310"/>
      <c r="AE57" s="310"/>
      <c r="AF57" s="310"/>
      <c r="AG57" s="310"/>
      <c r="AH57" s="310"/>
      <c r="AI57" s="310"/>
      <c r="AJ57" s="310"/>
      <c r="AK57" s="310"/>
      <c r="AL57" s="310"/>
      <c r="AM57" s="310"/>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23.25" customHeight="1">
      <c r="O59" s="60"/>
      <c r="S59" s="195"/>
      <c r="T59" s="1282"/>
      <c r="U59" s="1282"/>
      <c r="V59" s="1282"/>
      <c r="W59" s="1282"/>
      <c r="X59" s="1282"/>
      <c r="Y59" s="1282"/>
      <c r="Z59" s="1282"/>
      <c r="AA59" s="1282"/>
      <c r="AB59" s="1282"/>
      <c r="AC59" s="1282"/>
      <c r="AD59" s="1282"/>
      <c r="AE59" s="1282"/>
      <c r="AF59" s="1282"/>
      <c r="AG59" s="1282"/>
      <c r="AH59" s="1282"/>
      <c r="AI59" s="1282"/>
      <c r="AJ59" s="1282"/>
      <c r="AK59" s="1282"/>
      <c r="AL59" s="1282"/>
      <c r="AM59" s="1282"/>
      <c r="AS59" s="10">
        <v>22</v>
      </c>
    </row>
    <row r="60" spans="1:45" ht="30.4" customHeight="1">
      <c r="O60" s="60"/>
      <c r="T60" s="1282"/>
      <c r="U60" s="1282"/>
      <c r="V60" s="1282"/>
      <c r="W60" s="1282"/>
      <c r="X60" s="1282"/>
      <c r="Y60" s="1282"/>
      <c r="Z60" s="1282"/>
      <c r="AA60" s="1282"/>
      <c r="AB60" s="1282"/>
      <c r="AC60" s="1282"/>
      <c r="AD60" s="1282"/>
      <c r="AE60" s="1282"/>
      <c r="AF60" s="1282"/>
      <c r="AG60" s="1282"/>
      <c r="AH60" s="1282"/>
      <c r="AI60" s="1282"/>
      <c r="AJ60" s="1282"/>
      <c r="AK60" s="1282"/>
      <c r="AL60" s="1282"/>
      <c r="AM60" s="1282"/>
      <c r="AS60" s="10">
        <v>29</v>
      </c>
    </row>
    <row r="61" spans="1:45" ht="42" customHeight="1">
      <c r="O61" s="60"/>
      <c r="T61" s="1282"/>
      <c r="U61" s="1282"/>
      <c r="V61" s="1282"/>
      <c r="W61" s="1282"/>
      <c r="X61" s="1282"/>
      <c r="Y61" s="1282"/>
      <c r="Z61" s="1282"/>
      <c r="AA61" s="1282"/>
      <c r="AB61" s="1282"/>
      <c r="AC61" s="1282"/>
      <c r="AD61" s="1282"/>
      <c r="AE61" s="1282"/>
      <c r="AF61" s="1282"/>
      <c r="AG61" s="1282"/>
      <c r="AH61" s="1282"/>
      <c r="AI61" s="1282"/>
      <c r="AJ61" s="1282"/>
      <c r="AK61" s="1282"/>
      <c r="AL61" s="1282"/>
      <c r="AM61" s="1282"/>
      <c r="AS61" s="10">
        <v>40</v>
      </c>
    </row>
    <row r="62" spans="1:45" ht="14.65" customHeight="1">
      <c r="O62" s="60"/>
      <c r="AS62" s="10">
        <v>14</v>
      </c>
    </row>
    <row r="63" spans="1:45" ht="21" customHeight="1">
      <c r="O63" s="60"/>
      <c r="S63" s="195"/>
      <c r="T63" s="1186"/>
      <c r="U63" s="1282"/>
      <c r="V63" s="1282"/>
      <c r="W63" s="1282"/>
      <c r="X63" s="1282"/>
      <c r="Y63" s="1282"/>
      <c r="Z63" s="1282"/>
      <c r="AA63" s="1282"/>
      <c r="AB63" s="1282"/>
      <c r="AC63" s="1282"/>
      <c r="AD63" s="1282"/>
      <c r="AE63" s="1282"/>
      <c r="AF63" s="1282"/>
      <c r="AG63" s="1282"/>
      <c r="AH63" s="1282"/>
      <c r="AI63" s="1282"/>
      <c r="AJ63" s="1282"/>
      <c r="AK63" s="1282"/>
      <c r="AL63" s="1282"/>
      <c r="AM63" s="1282"/>
      <c r="AS63" s="10">
        <v>20</v>
      </c>
    </row>
    <row r="64" spans="1:45" ht="29.25" customHeight="1">
      <c r="O64" s="60"/>
      <c r="T64" s="1282"/>
      <c r="U64" s="1282"/>
      <c r="V64" s="1282"/>
      <c r="W64" s="1282"/>
      <c r="X64" s="1282"/>
      <c r="Y64" s="1282"/>
      <c r="Z64" s="1282"/>
      <c r="AA64" s="1282"/>
      <c r="AB64" s="1282"/>
      <c r="AC64" s="1282"/>
      <c r="AD64" s="1282"/>
      <c r="AE64" s="1282"/>
      <c r="AF64" s="1282"/>
      <c r="AG64" s="1282"/>
      <c r="AH64" s="1282"/>
      <c r="AI64" s="1282"/>
      <c r="AJ64" s="1282"/>
      <c r="AK64" s="1282"/>
      <c r="AL64" s="1282"/>
      <c r="AM64" s="1282"/>
      <c r="AS64" s="10">
        <v>28</v>
      </c>
    </row>
    <row r="65" spans="1:45" ht="35.65" customHeight="1">
      <c r="T65" s="1282"/>
      <c r="U65" s="1282"/>
      <c r="V65" s="1282"/>
      <c r="W65" s="1282"/>
      <c r="X65" s="1282"/>
      <c r="Y65" s="1282"/>
      <c r="Z65" s="1282"/>
      <c r="AA65" s="1282"/>
      <c r="AB65" s="1282"/>
      <c r="AC65" s="1282"/>
      <c r="AD65" s="1282"/>
      <c r="AE65" s="1282"/>
      <c r="AF65" s="1282"/>
      <c r="AG65" s="1282"/>
      <c r="AH65" s="1282"/>
      <c r="AI65" s="1282"/>
      <c r="AJ65" s="1282"/>
      <c r="AK65" s="1282"/>
      <c r="AL65" s="1282"/>
      <c r="AM65" s="1282"/>
      <c r="AS65" s="10">
        <v>34</v>
      </c>
    </row>
    <row r="66" spans="1:45" ht="22.5" hidden="1" customHeight="1">
      <c r="A66" s="60" t="s">
        <v>80</v>
      </c>
      <c r="B66" s="60">
        <v>0</v>
      </c>
      <c r="C66" s="60">
        <v>0</v>
      </c>
      <c r="D66" s="60">
        <v>0</v>
      </c>
      <c r="E66" s="60">
        <v>0</v>
      </c>
      <c r="F66" s="60">
        <v>0</v>
      </c>
      <c r="G66" s="60">
        <v>0</v>
      </c>
      <c r="H66" s="60">
        <v>0</v>
      </c>
      <c r="I66" s="60">
        <v>0</v>
      </c>
      <c r="J66" s="60">
        <v>0</v>
      </c>
      <c r="K66" s="60">
        <v>0</v>
      </c>
      <c r="L66" s="298">
        <v>0</v>
      </c>
      <c r="M66" s="503">
        <v>0</v>
      </c>
      <c r="N66" s="503">
        <v>0</v>
      </c>
      <c r="O66" s="503">
        <v>0</v>
      </c>
      <c r="P66" s="32">
        <v>0</v>
      </c>
      <c r="Q66" s="28">
        <v>3</v>
      </c>
      <c r="R66" s="28">
        <v>3</v>
      </c>
      <c r="S66" s="339">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5">
        <v>10</v>
      </c>
      <c r="AO66" s="65">
        <v>10</v>
      </c>
      <c r="AP66" s="65">
        <v>10</v>
      </c>
      <c r="AQ66" s="65">
        <v>10</v>
      </c>
      <c r="AR66" s="65">
        <v>10</v>
      </c>
      <c r="AS66" s="1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8" hidden="1" customWidth="1"/>
    <col min="13" max="14" width="12.28515625" style="503" hidden="1" customWidth="1"/>
    <col min="15" max="15" width="23.42578125" style="503" hidden="1" customWidth="1"/>
    <col min="16" max="16" width="3.7109375" style="32" hidden="1" customWidth="1"/>
    <col min="17" max="18" width="3" style="28" customWidth="1"/>
    <col min="19" max="19" width="12" style="339"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66"/>
      <c r="B2" s="766"/>
      <c r="C2" s="766"/>
      <c r="D2" s="766"/>
      <c r="E2" s="1283">
        <v>1</v>
      </c>
      <c r="F2" s="766"/>
      <c r="G2" s="766"/>
      <c r="H2" s="766"/>
      <c r="I2" s="766"/>
      <c r="J2" s="766"/>
      <c r="K2" s="766"/>
      <c r="L2" s="767"/>
      <c r="M2" s="423"/>
      <c r="N2" s="423"/>
      <c r="O2" s="423"/>
      <c r="Q2" s="33"/>
      <c r="R2" s="204"/>
      <c r="S2" s="706" t="e">
        <f>INDEX(PT_DIFFERENTIATION_NUM_NTAR,MATCH(A2,PT_DIFFERENTIATION_NTAR_ID,0))</f>
        <v>#N/A</v>
      </c>
      <c r="T2" s="64" t="s">
        <v>121</v>
      </c>
      <c r="U2" s="168"/>
      <c r="V2" s="1277"/>
      <c r="W2" s="1278"/>
      <c r="X2" s="1278"/>
      <c r="Y2" s="1278"/>
      <c r="Z2" s="1278"/>
      <c r="AA2" s="1278"/>
      <c r="AB2" s="1278"/>
      <c r="AC2" s="1279"/>
      <c r="AD2" s="1277" t="e">
        <f>INDEX(PT_DIFFERENTIATION_NTAR,MATCH(A2,PT_DIFFERENTIATION_NTAR_ID,0))</f>
        <v>#N/A</v>
      </c>
      <c r="AE2" s="1278"/>
      <c r="AF2" s="1278"/>
      <c r="AG2" s="1278"/>
      <c r="AH2" s="1278"/>
      <c r="AI2" s="1278"/>
      <c r="AJ2" s="1278"/>
      <c r="AK2" s="1278"/>
      <c r="AL2" s="1279"/>
      <c r="AM2" s="726" t="s">
        <v>396</v>
      </c>
      <c r="AO2" s="66"/>
      <c r="AP2" s="66" t="str">
        <f t="shared" ref="AP2:AP15" si="0">IF(T2="","",T2)</f>
        <v>Наименование тарифа</v>
      </c>
      <c r="AQ2" s="66"/>
      <c r="AR2" s="66"/>
      <c r="AS2" s="10">
        <v>0</v>
      </c>
    </row>
    <row r="3" spans="1:45" ht="21" hidden="1" customHeight="1">
      <c r="A3" s="766"/>
      <c r="B3" s="766"/>
      <c r="C3" s="766"/>
      <c r="D3" s="766"/>
      <c r="E3" s="1284"/>
      <c r="F3" s="1283">
        <v>1</v>
      </c>
      <c r="G3" s="766"/>
      <c r="H3" s="766"/>
      <c r="I3" s="766"/>
      <c r="J3" s="766"/>
      <c r="K3" s="766"/>
      <c r="L3" s="767"/>
      <c r="M3" s="423"/>
      <c r="N3" s="423"/>
      <c r="O3" s="423"/>
      <c r="P3" s="56"/>
      <c r="Q3" s="201"/>
      <c r="R3" s="202"/>
      <c r="S3" s="706" t="e">
        <f>INDEX(PT_DIFFERENTIATION_NUM_TER,MATCH(B3,PT_DIFFERENTIATION_TER_ID,0))</f>
        <v>#N/A</v>
      </c>
      <c r="T3" s="174" t="s">
        <v>397</v>
      </c>
      <c r="U3" s="168"/>
      <c r="V3" s="1277"/>
      <c r="W3" s="1278"/>
      <c r="X3" s="1278"/>
      <c r="Y3" s="1278"/>
      <c r="Z3" s="1278"/>
      <c r="AA3" s="1278"/>
      <c r="AB3" s="1278"/>
      <c r="AC3" s="1279"/>
      <c r="AD3" s="1277" t="e">
        <f>INDEX(PT_DIFFERENTIATION_TER,MATCH(B3,PT_DIFFERENTIATION_TER_ID,0))</f>
        <v>#N/A</v>
      </c>
      <c r="AE3" s="1278"/>
      <c r="AF3" s="1278"/>
      <c r="AG3" s="1278"/>
      <c r="AH3" s="1278"/>
      <c r="AI3" s="1278"/>
      <c r="AJ3" s="1278"/>
      <c r="AK3" s="1278"/>
      <c r="AL3" s="1279"/>
      <c r="AM3" s="726" t="s">
        <v>398</v>
      </c>
      <c r="AO3" s="66"/>
      <c r="AP3" s="66" t="str">
        <f t="shared" si="0"/>
        <v>Территория действия тарифа</v>
      </c>
      <c r="AQ3" s="66"/>
      <c r="AR3" s="66"/>
      <c r="AS3" s="10">
        <v>0</v>
      </c>
    </row>
    <row r="4" spans="1:45" ht="23.25" hidden="1" customHeight="1">
      <c r="A4" s="766"/>
      <c r="B4" s="766"/>
      <c r="C4" s="766"/>
      <c r="D4" s="766"/>
      <c r="E4" s="1284"/>
      <c r="F4" s="1284"/>
      <c r="G4" s="1283">
        <v>1</v>
      </c>
      <c r="H4" s="766"/>
      <c r="I4" s="766"/>
      <c r="J4" s="766"/>
      <c r="K4" s="766"/>
      <c r="L4" s="767"/>
      <c r="M4" s="423"/>
      <c r="N4" s="423"/>
      <c r="O4" s="423"/>
      <c r="P4" s="203"/>
      <c r="Q4" s="201"/>
      <c r="R4" s="202"/>
      <c r="S4" s="706" t="e">
        <f>INDEX(PT_DIFFERENTIATION_NUM_CS,MATCH(C4,PT_DIFFERENTIATION_CS_ID,0))</f>
        <v>#N/A</v>
      </c>
      <c r="T4" s="175" t="s">
        <v>399</v>
      </c>
      <c r="U4" s="168"/>
      <c r="V4" s="1277"/>
      <c r="W4" s="1278"/>
      <c r="X4" s="1278"/>
      <c r="Y4" s="1278"/>
      <c r="Z4" s="1278"/>
      <c r="AA4" s="1278"/>
      <c r="AB4" s="1278"/>
      <c r="AC4" s="1279"/>
      <c r="AD4" s="1277" t="e">
        <f>INDEX(PT_DIFFERENTIATION_CS,MATCH(C4,PT_DIFFERENTIATION_CS_ID,0))</f>
        <v>#N/A</v>
      </c>
      <c r="AE4" s="1278"/>
      <c r="AF4" s="1278"/>
      <c r="AG4" s="1278"/>
      <c r="AH4" s="1278"/>
      <c r="AI4" s="1278"/>
      <c r="AJ4" s="1278"/>
      <c r="AK4" s="1278"/>
      <c r="AL4" s="1279"/>
      <c r="AM4" s="726" t="s">
        <v>400</v>
      </c>
      <c r="AO4" s="66"/>
      <c r="AP4" s="66" t="str">
        <f t="shared" si="0"/>
        <v xml:space="preserve">Наименование системы теплоснабжения </v>
      </c>
      <c r="AQ4" s="66"/>
      <c r="AR4" s="66"/>
      <c r="AS4" s="10">
        <v>0</v>
      </c>
    </row>
    <row r="5" spans="1:45" ht="21" hidden="1" customHeight="1">
      <c r="A5" s="766"/>
      <c r="B5" s="766"/>
      <c r="C5" s="766"/>
      <c r="D5" s="766"/>
      <c r="E5" s="1284"/>
      <c r="F5" s="1284"/>
      <c r="G5" s="1284"/>
      <c r="H5" s="1283">
        <v>1</v>
      </c>
      <c r="I5" s="766"/>
      <c r="J5" s="766"/>
      <c r="K5" s="766"/>
      <c r="L5" s="767"/>
      <c r="M5" s="423"/>
      <c r="N5" s="423"/>
      <c r="O5" s="423"/>
      <c r="P5" s="203"/>
      <c r="Q5" s="201"/>
      <c r="R5" s="202"/>
      <c r="S5" s="706" t="e">
        <f>INDEX(PT_DIFFERENTIATION_NUM_IST_TE,MATCH(D5,PT_DIFFERENTIATION_IST_TE_ID,0))</f>
        <v>#N/A</v>
      </c>
      <c r="T5" s="176" t="s">
        <v>401</v>
      </c>
      <c r="U5" s="168"/>
      <c r="V5" s="1277"/>
      <c r="W5" s="1278"/>
      <c r="X5" s="1278"/>
      <c r="Y5" s="1278"/>
      <c r="Z5" s="1278"/>
      <c r="AA5" s="1278"/>
      <c r="AB5" s="1278"/>
      <c r="AC5" s="1279"/>
      <c r="AD5" s="1277" t="e">
        <f>INDEX(PT_DIFFERENTIATION_IST_TE,MATCH(D5,PT_DIFFERENTIATION_IST_TE_ID,0))</f>
        <v>#N/A</v>
      </c>
      <c r="AE5" s="1278"/>
      <c r="AF5" s="1278"/>
      <c r="AG5" s="1278"/>
      <c r="AH5" s="1278"/>
      <c r="AI5" s="1278"/>
      <c r="AJ5" s="1278"/>
      <c r="AK5" s="1278"/>
      <c r="AL5" s="1279"/>
      <c r="AM5" s="726" t="s">
        <v>402</v>
      </c>
      <c r="AO5" s="66"/>
      <c r="AP5" s="66" t="str">
        <f t="shared" si="0"/>
        <v xml:space="preserve">Источник тепловой энергии  </v>
      </c>
      <c r="AQ5" s="66"/>
      <c r="AR5" s="66"/>
      <c r="AS5" s="10">
        <v>0</v>
      </c>
    </row>
    <row r="6" spans="1:45" ht="14.25" hidden="1" customHeight="1">
      <c r="A6" s="766"/>
      <c r="B6" s="766"/>
      <c r="C6" s="766"/>
      <c r="D6" s="766"/>
      <c r="E6" s="1284"/>
      <c r="F6" s="1284"/>
      <c r="G6" s="1284"/>
      <c r="H6" s="1284"/>
      <c r="I6" s="1285" t="e">
        <f>S5&amp;".1"</f>
        <v>#N/A</v>
      </c>
      <c r="J6" s="766"/>
      <c r="K6" s="766"/>
      <c r="L6" s="767" t="s">
        <v>403</v>
      </c>
      <c r="M6" s="60"/>
      <c r="P6" s="1287">
        <v>1</v>
      </c>
      <c r="Q6" s="119"/>
      <c r="R6" s="205"/>
      <c r="S6" s="359"/>
      <c r="T6" s="776"/>
      <c r="U6" s="777"/>
      <c r="V6" s="1314"/>
      <c r="W6" s="1315"/>
      <c r="X6" s="1315"/>
      <c r="Y6" s="1315"/>
      <c r="Z6" s="1315"/>
      <c r="AA6" s="1315"/>
      <c r="AB6" s="1315"/>
      <c r="AC6" s="1316"/>
      <c r="AD6" s="1314"/>
      <c r="AE6" s="1315"/>
      <c r="AF6" s="1315"/>
      <c r="AG6" s="1315"/>
      <c r="AH6" s="1315"/>
      <c r="AI6" s="1315"/>
      <c r="AJ6" s="1315"/>
      <c r="AK6" s="1315"/>
      <c r="AL6" s="1316"/>
      <c r="AM6" s="778"/>
      <c r="AO6" s="66"/>
      <c r="AP6" s="66" t="str">
        <f t="shared" si="0"/>
        <v/>
      </c>
      <c r="AQ6" s="66"/>
      <c r="AR6" s="66"/>
      <c r="AS6" s="10">
        <v>0</v>
      </c>
    </row>
    <row r="7" spans="1:45" ht="21" hidden="1" customHeight="1">
      <c r="A7" s="766"/>
      <c r="B7" s="766"/>
      <c r="C7" s="766"/>
      <c r="D7" s="766"/>
      <c r="E7" s="1284"/>
      <c r="F7" s="1284"/>
      <c r="G7" s="1284"/>
      <c r="H7" s="1284"/>
      <c r="I7" s="1286"/>
      <c r="J7" s="1285" t="e">
        <f>I6&amp;".1"</f>
        <v>#N/A</v>
      </c>
      <c r="K7" s="766"/>
      <c r="L7" s="767" t="s">
        <v>406</v>
      </c>
      <c r="M7" s="60"/>
      <c r="N7" s="60"/>
      <c r="P7" s="1287"/>
      <c r="Q7" s="1287">
        <v>1</v>
      </c>
      <c r="R7" s="206"/>
      <c r="S7" s="706" t="e">
        <f>$J7</f>
        <v>#N/A</v>
      </c>
      <c r="T7" s="162" t="s">
        <v>407</v>
      </c>
      <c r="U7" s="168"/>
      <c r="V7" s="1271"/>
      <c r="W7" s="1272"/>
      <c r="X7" s="1272"/>
      <c r="Y7" s="1272"/>
      <c r="Z7" s="1272"/>
      <c r="AA7" s="1272"/>
      <c r="AB7" s="1272"/>
      <c r="AC7" s="1273"/>
      <c r="AD7" s="1271"/>
      <c r="AE7" s="1272"/>
      <c r="AF7" s="1272"/>
      <c r="AG7" s="1272"/>
      <c r="AH7" s="1272"/>
      <c r="AI7" s="1272"/>
      <c r="AJ7" s="1272"/>
      <c r="AK7" s="1272"/>
      <c r="AL7" s="1273"/>
      <c r="AM7" s="726" t="s">
        <v>408</v>
      </c>
      <c r="AO7" s="66"/>
      <c r="AP7" s="66" t="str">
        <f t="shared" si="0"/>
        <v>Группа потребителей</v>
      </c>
      <c r="AQ7" s="66"/>
      <c r="AR7" s="66"/>
      <c r="AS7" s="10">
        <v>0</v>
      </c>
    </row>
    <row r="8" spans="1:45" ht="21" hidden="1" customHeight="1">
      <c r="A8" s="766"/>
      <c r="B8" s="766"/>
      <c r="C8" s="766"/>
      <c r="D8" s="766"/>
      <c r="E8" s="1284"/>
      <c r="F8" s="1284"/>
      <c r="G8" s="1284"/>
      <c r="H8" s="1284"/>
      <c r="I8" s="1286"/>
      <c r="J8" s="1286"/>
      <c r="K8" s="1285" t="e">
        <f>J7&amp;".1"</f>
        <v>#N/A</v>
      </c>
      <c r="L8" s="767" t="s">
        <v>409</v>
      </c>
      <c r="M8" s="60"/>
      <c r="N8" s="60"/>
      <c r="O8" s="60"/>
      <c r="P8" s="1287"/>
      <c r="Q8" s="1287"/>
      <c r="R8" s="206">
        <v>1</v>
      </c>
      <c r="S8" s="706" t="e">
        <f>$K8</f>
        <v>#N/A</v>
      </c>
      <c r="T8" s="762"/>
      <c r="U8" s="168"/>
      <c r="V8" s="303"/>
      <c r="W8" s="188"/>
      <c r="X8" s="303"/>
      <c r="Y8" s="725"/>
      <c r="Z8" s="1288"/>
      <c r="AA8" s="1156" t="s">
        <v>64</v>
      </c>
      <c r="AB8" s="1288"/>
      <c r="AC8" s="1156" t="s">
        <v>64</v>
      </c>
      <c r="AD8" s="303"/>
      <c r="AE8" s="188"/>
      <c r="AF8" s="303"/>
      <c r="AG8" s="725"/>
      <c r="AH8" s="1288"/>
      <c r="AI8" s="1156" t="s">
        <v>64</v>
      </c>
      <c r="AJ8" s="1288"/>
      <c r="AK8" s="1156" t="s">
        <v>64</v>
      </c>
      <c r="AL8" s="188"/>
      <c r="AM8" s="1306" t="s">
        <v>410</v>
      </c>
      <c r="AN8" s="65" t="e">
        <f ca="1">STRCHECKDATE(V9:AL9)</f>
        <v>#NAME?</v>
      </c>
      <c r="AO8" s="66"/>
      <c r="AP8" s="66" t="str">
        <f t="shared" si="0"/>
        <v/>
      </c>
      <c r="AQ8" s="66"/>
      <c r="AR8" s="66"/>
      <c r="AS8" s="10">
        <v>0</v>
      </c>
    </row>
    <row r="9" spans="1:45" ht="14.25" hidden="1" customHeight="1">
      <c r="A9" s="766"/>
      <c r="B9" s="766"/>
      <c r="C9" s="766"/>
      <c r="D9" s="766"/>
      <c r="E9" s="1284"/>
      <c r="F9" s="1284"/>
      <c r="G9" s="1284"/>
      <c r="H9" s="1284"/>
      <c r="I9" s="1286"/>
      <c r="J9" s="1286"/>
      <c r="K9" s="1285"/>
      <c r="L9" s="767"/>
      <c r="M9" s="60"/>
      <c r="N9" s="60"/>
      <c r="O9" s="60"/>
      <c r="P9" s="1287"/>
      <c r="Q9" s="1287"/>
      <c r="R9" s="206"/>
      <c r="S9" s="62"/>
      <c r="T9" s="168"/>
      <c r="U9" s="168"/>
      <c r="V9" s="188"/>
      <c r="W9" s="188"/>
      <c r="X9" s="188"/>
      <c r="Y9" s="189" t="str">
        <f>Z8&amp;"-"&amp;AB8</f>
        <v>-</v>
      </c>
      <c r="Z9" s="1289"/>
      <c r="AA9" s="1156"/>
      <c r="AB9" s="1289"/>
      <c r="AC9" s="1156"/>
      <c r="AD9" s="188"/>
      <c r="AE9" s="188"/>
      <c r="AF9" s="188"/>
      <c r="AG9" s="189" t="str">
        <f>AH8&amp;"-"&amp;AJ8</f>
        <v>-</v>
      </c>
      <c r="AH9" s="1289"/>
      <c r="AI9" s="1156"/>
      <c r="AJ9" s="1289"/>
      <c r="AK9" s="1156"/>
      <c r="AL9" s="188"/>
      <c r="AM9" s="1307"/>
      <c r="AO9" s="66"/>
      <c r="AP9" s="66" t="str">
        <f t="shared" si="0"/>
        <v/>
      </c>
      <c r="AQ9" s="66"/>
      <c r="AR9" s="66"/>
      <c r="AS9" s="10">
        <v>0</v>
      </c>
    </row>
    <row r="10" spans="1:45" ht="15" hidden="1" customHeight="1">
      <c r="A10" s="766"/>
      <c r="B10" s="766"/>
      <c r="C10" s="766"/>
      <c r="D10" s="766"/>
      <c r="E10" s="1284"/>
      <c r="F10" s="1284"/>
      <c r="G10" s="1284"/>
      <c r="H10" s="1284"/>
      <c r="I10" s="1286"/>
      <c r="J10" s="1285"/>
      <c r="K10" s="766"/>
      <c r="L10" s="767"/>
      <c r="M10" s="60"/>
      <c r="N10" s="60"/>
      <c r="P10" s="1287"/>
      <c r="Q10" s="1287"/>
      <c r="R10" s="205"/>
      <c r="S10" s="739"/>
      <c r="T10" s="163" t="s">
        <v>411</v>
      </c>
      <c r="U10" s="210"/>
      <c r="V10" s="210"/>
      <c r="W10" s="210"/>
      <c r="X10" s="210"/>
      <c r="Y10" s="210"/>
      <c r="Z10" s="210"/>
      <c r="AA10" s="210"/>
      <c r="AB10" s="210"/>
      <c r="AC10" s="210"/>
      <c r="AD10" s="210"/>
      <c r="AE10" s="210"/>
      <c r="AF10" s="210"/>
      <c r="AG10" s="210"/>
      <c r="AH10" s="210"/>
      <c r="AI10" s="210"/>
      <c r="AJ10" s="210"/>
      <c r="AK10" s="210"/>
      <c r="AL10" s="187"/>
      <c r="AM10" s="1308"/>
      <c r="AO10" s="66"/>
      <c r="AP10" s="66" t="str">
        <f t="shared" si="0"/>
        <v>Добавить вид теплоносителя (параметры теплоносителя)</v>
      </c>
      <c r="AQ10" s="66"/>
      <c r="AR10" s="66"/>
      <c r="AS10" s="10">
        <v>0</v>
      </c>
    </row>
    <row r="11" spans="1:45" ht="11.25" hidden="1" customHeight="1">
      <c r="A11" s="766"/>
      <c r="B11" s="766"/>
      <c r="C11" s="766"/>
      <c r="D11" s="766"/>
      <c r="E11" s="1284"/>
      <c r="F11" s="1284"/>
      <c r="G11" s="1284"/>
      <c r="H11" s="1284"/>
      <c r="I11" s="1285"/>
      <c r="J11" s="766"/>
      <c r="K11" s="766"/>
      <c r="L11" s="767"/>
      <c r="M11" s="60"/>
      <c r="P11" s="1287"/>
      <c r="Q11" s="119"/>
      <c r="R11" s="205"/>
      <c r="S11" s="739"/>
      <c r="T11" s="208" t="s">
        <v>412</v>
      </c>
      <c r="U11" s="210"/>
      <c r="V11" s="210"/>
      <c r="W11" s="210"/>
      <c r="X11" s="210"/>
      <c r="Y11" s="210"/>
      <c r="Z11" s="210"/>
      <c r="AA11" s="210"/>
      <c r="AB11" s="210"/>
      <c r="AC11" s="209"/>
      <c r="AD11" s="210"/>
      <c r="AE11" s="210"/>
      <c r="AF11" s="210"/>
      <c r="AG11" s="210"/>
      <c r="AH11" s="210"/>
      <c r="AI11" s="210"/>
      <c r="AJ11" s="210"/>
      <c r="AK11" s="209"/>
      <c r="AL11" s="210"/>
      <c r="AM11" s="171"/>
      <c r="AO11" s="66"/>
      <c r="AP11" s="66" t="str">
        <f t="shared" si="0"/>
        <v>Добавить группу потребителей</v>
      </c>
      <c r="AQ11" s="66"/>
      <c r="AR11" s="66"/>
      <c r="AS11" s="10">
        <v>0</v>
      </c>
    </row>
    <row r="12" spans="1:45" ht="14.25" hidden="1" customHeight="1">
      <c r="A12" s="766"/>
      <c r="B12" s="766"/>
      <c r="C12" s="766"/>
      <c r="D12" s="766"/>
      <c r="E12" s="1284"/>
      <c r="F12" s="1284"/>
      <c r="G12" s="1284"/>
      <c r="H12" s="1283"/>
      <c r="I12" s="766"/>
      <c r="J12" s="766"/>
      <c r="K12" s="766"/>
      <c r="L12" s="767"/>
      <c r="M12" s="423"/>
      <c r="N12" s="423"/>
      <c r="O12" s="60"/>
      <c r="P12" s="33"/>
      <c r="Q12" s="213"/>
      <c r="R12" s="204"/>
      <c r="S12" s="779"/>
      <c r="T12" s="780"/>
      <c r="U12" s="781"/>
      <c r="V12" s="781"/>
      <c r="W12" s="781"/>
      <c r="X12" s="781"/>
      <c r="Y12" s="781"/>
      <c r="Z12" s="781"/>
      <c r="AA12" s="781"/>
      <c r="AB12" s="781"/>
      <c r="AC12" s="781"/>
      <c r="AD12" s="781"/>
      <c r="AE12" s="781"/>
      <c r="AF12" s="781"/>
      <c r="AG12" s="781"/>
      <c r="AH12" s="781"/>
      <c r="AI12" s="781"/>
      <c r="AJ12" s="781"/>
      <c r="AK12" s="781"/>
      <c r="AL12" s="781"/>
      <c r="AM12" s="782"/>
      <c r="AO12" s="66"/>
      <c r="AP12" s="66" t="str">
        <f t="shared" si="0"/>
        <v/>
      </c>
      <c r="AQ12" s="66"/>
      <c r="AR12" s="66"/>
      <c r="AS12" s="10">
        <v>0</v>
      </c>
    </row>
    <row r="13" spans="1:45" s="65" customFormat="1" ht="14.25" hidden="1" customHeight="1">
      <c r="A13" s="142"/>
      <c r="B13" s="142"/>
      <c r="C13" s="142"/>
      <c r="D13" s="142"/>
      <c r="E13" s="1284"/>
      <c r="F13" s="1284"/>
      <c r="G13" s="1283"/>
      <c r="H13" s="142"/>
      <c r="I13" s="142"/>
      <c r="J13" s="142"/>
      <c r="K13" s="142"/>
      <c r="L13" s="343"/>
      <c r="M13" s="290"/>
      <c r="N13" s="290"/>
      <c r="P13" s="101"/>
      <c r="Q13" s="752"/>
      <c r="R13" s="101"/>
      <c r="S13" s="753"/>
      <c r="T13" s="754" t="s">
        <v>414</v>
      </c>
      <c r="U13" s="755"/>
      <c r="V13" s="755"/>
      <c r="W13" s="755"/>
      <c r="X13" s="755"/>
      <c r="Y13" s="755"/>
      <c r="Z13" s="755"/>
      <c r="AA13" s="755"/>
      <c r="AB13" s="755"/>
      <c r="AC13" s="755"/>
      <c r="AD13" s="755"/>
      <c r="AE13" s="755"/>
      <c r="AF13" s="755"/>
      <c r="AG13" s="755"/>
      <c r="AH13" s="755"/>
      <c r="AI13" s="755"/>
      <c r="AJ13" s="755"/>
      <c r="AK13" s="755"/>
      <c r="AL13" s="755"/>
      <c r="AM13" s="755"/>
      <c r="AO13" s="66"/>
      <c r="AP13" s="66" t="str">
        <f t="shared" si="0"/>
        <v>Добавить источник для дифференциации</v>
      </c>
      <c r="AQ13" s="66"/>
      <c r="AR13" s="66"/>
      <c r="AS13" s="65">
        <v>0</v>
      </c>
    </row>
    <row r="14" spans="1:45" s="65" customFormat="1" ht="14.25" hidden="1" customHeight="1">
      <c r="A14" s="142"/>
      <c r="B14" s="142"/>
      <c r="C14" s="142"/>
      <c r="D14" s="142"/>
      <c r="E14" s="1284"/>
      <c r="F14" s="1283"/>
      <c r="G14" s="142"/>
      <c r="H14" s="142"/>
      <c r="I14" s="142"/>
      <c r="J14" s="142"/>
      <c r="K14" s="142"/>
      <c r="L14" s="343"/>
      <c r="M14" s="756"/>
      <c r="N14" s="756"/>
      <c r="P14" s="101"/>
      <c r="Q14" s="752"/>
      <c r="R14" s="101"/>
      <c r="S14" s="757"/>
      <c r="T14" s="758" t="s">
        <v>231</v>
      </c>
      <c r="U14" s="310"/>
      <c r="V14" s="310"/>
      <c r="W14" s="310"/>
      <c r="X14" s="310"/>
      <c r="Y14" s="310"/>
      <c r="Z14" s="310"/>
      <c r="AA14" s="310"/>
      <c r="AB14" s="310"/>
      <c r="AC14" s="310"/>
      <c r="AD14" s="310"/>
      <c r="AE14" s="310"/>
      <c r="AF14" s="310"/>
      <c r="AG14" s="310"/>
      <c r="AH14" s="310"/>
      <c r="AI14" s="310"/>
      <c r="AJ14" s="310"/>
      <c r="AK14" s="310"/>
      <c r="AL14" s="310"/>
      <c r="AM14" s="310"/>
      <c r="AO14" s="66"/>
      <c r="AP14" s="66" t="str">
        <f t="shared" si="0"/>
        <v>Добавить централизованную систему для дифференциации</v>
      </c>
      <c r="AQ14" s="66"/>
      <c r="AR14" s="66"/>
      <c r="AS14" s="65">
        <v>0</v>
      </c>
    </row>
    <row r="15" spans="1:45" s="65" customFormat="1" ht="14.25" hidden="1" customHeight="1">
      <c r="A15" s="142"/>
      <c r="B15" s="142"/>
      <c r="C15" s="142"/>
      <c r="D15" s="142"/>
      <c r="E15" s="1283"/>
      <c r="F15" s="142"/>
      <c r="G15" s="142"/>
      <c r="H15" s="142"/>
      <c r="I15" s="142"/>
      <c r="J15" s="142"/>
      <c r="K15" s="142"/>
      <c r="L15" s="343"/>
      <c r="M15" s="756"/>
      <c r="N15" s="756"/>
      <c r="P15" s="101"/>
      <c r="Q15" s="752"/>
      <c r="R15" s="101"/>
      <c r="S15" s="757"/>
      <c r="T15" s="759" t="s">
        <v>232</v>
      </c>
      <c r="U15" s="310"/>
      <c r="V15" s="310"/>
      <c r="W15" s="310"/>
      <c r="X15" s="310"/>
      <c r="Y15" s="310"/>
      <c r="Z15" s="310"/>
      <c r="AA15" s="310"/>
      <c r="AB15" s="310"/>
      <c r="AC15" s="310"/>
      <c r="AD15" s="310"/>
      <c r="AE15" s="310"/>
      <c r="AF15" s="310"/>
      <c r="AG15" s="310"/>
      <c r="AH15" s="310"/>
      <c r="AI15" s="310"/>
      <c r="AJ15" s="310"/>
      <c r="AK15" s="310"/>
      <c r="AL15" s="310"/>
      <c r="AM15" s="310"/>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5"/>
      <c r="AE17" s="365"/>
      <c r="AF17" s="365"/>
      <c r="AG17" s="765"/>
      <c r="AH17" s="1281"/>
      <c r="AI17" s="1280" t="s">
        <v>64</v>
      </c>
      <c r="AJ17" s="1281"/>
      <c r="AK17" s="1280" t="s">
        <v>64</v>
      </c>
      <c r="AS17" s="10">
        <v>0</v>
      </c>
    </row>
    <row r="18" spans="1:45" ht="14.25" hidden="1" customHeight="1">
      <c r="AD18" s="365"/>
      <c r="AE18" s="365"/>
      <c r="AF18" s="365"/>
      <c r="AG18" s="189" t="str">
        <f>AH17&amp;"-"&amp;AJ17</f>
        <v>-</v>
      </c>
      <c r="AH18" s="1280"/>
      <c r="AI18" s="1280"/>
      <c r="AJ18" s="1280"/>
      <c r="AK18" s="1280"/>
      <c r="AS18" s="10">
        <v>0</v>
      </c>
    </row>
    <row r="19" spans="1:45" ht="14.25" hidden="1" customHeight="1">
      <c r="AS19" s="10">
        <v>0</v>
      </c>
    </row>
    <row r="20" spans="1:45" s="60" customFormat="1" ht="22.5" hidden="1" customHeight="1">
      <c r="L20" s="298"/>
      <c r="M20" s="503"/>
      <c r="N20" s="503"/>
      <c r="O20" s="768" t="s">
        <v>415</v>
      </c>
      <c r="P20" s="503"/>
      <c r="Q20" s="769"/>
      <c r="R20" s="769"/>
      <c r="S20" s="423"/>
      <c r="Z20" s="768"/>
      <c r="AB20" s="768"/>
      <c r="AH20" s="768"/>
      <c r="AJ20" s="768"/>
      <c r="AN20" s="65"/>
      <c r="AO20" s="65"/>
      <c r="AP20" s="65"/>
      <c r="AQ20" s="65"/>
      <c r="AR20" s="65"/>
      <c r="AS20" s="60">
        <v>0</v>
      </c>
    </row>
    <row r="21" spans="1:45" s="60" customFormat="1" ht="14.25" hidden="1" customHeight="1">
      <c r="L21" s="298"/>
      <c r="M21" s="503"/>
      <c r="N21" s="503"/>
      <c r="O21" s="503"/>
      <c r="P21" s="503"/>
      <c r="Q21" s="769"/>
      <c r="R21" s="769"/>
      <c r="S21" s="423"/>
      <c r="AN21" s="65"/>
      <c r="AO21" s="65"/>
      <c r="AP21" s="65"/>
      <c r="AQ21" s="65"/>
      <c r="AR21" s="65"/>
      <c r="AS21" s="60">
        <v>0</v>
      </c>
    </row>
    <row r="22" spans="1:45" s="60" customFormat="1" ht="14.25" hidden="1" customHeight="1">
      <c r="L22" s="298"/>
      <c r="M22" s="503"/>
      <c r="N22" s="503"/>
      <c r="O22" s="767" t="s">
        <v>416</v>
      </c>
      <c r="P22" s="503"/>
      <c r="Q22" s="769"/>
      <c r="R22" s="769"/>
      <c r="S22" s="423"/>
      <c r="T22" s="60" t="s">
        <v>417</v>
      </c>
      <c r="AA22" s="79" t="s">
        <v>418</v>
      </c>
      <c r="AC22" s="79" t="s">
        <v>419</v>
      </c>
      <c r="AD22" s="60" t="s">
        <v>417</v>
      </c>
      <c r="AI22" s="79" t="s">
        <v>420</v>
      </c>
      <c r="AK22" s="79" t="s">
        <v>419</v>
      </c>
      <c r="AN22" s="65"/>
      <c r="AO22" s="65"/>
      <c r="AP22" s="65"/>
      <c r="AQ22" s="65"/>
      <c r="AR22" s="65"/>
      <c r="AS22" s="60">
        <v>0</v>
      </c>
    </row>
    <row r="23" spans="1:45" ht="14.25" hidden="1" customHeight="1">
      <c r="O23" s="767"/>
      <c r="AS23" s="10">
        <v>0</v>
      </c>
    </row>
    <row r="24" spans="1:45" ht="14.25" hidden="1" customHeight="1">
      <c r="O24" s="767"/>
      <c r="AS24" s="10">
        <v>0</v>
      </c>
    </row>
    <row r="25" spans="1:45" ht="14.65" customHeight="1">
      <c r="Q25" s="27"/>
      <c r="R25" s="27"/>
      <c r="S25" s="736"/>
      <c r="T25" s="9"/>
      <c r="U25" s="9"/>
      <c r="AS25" s="10">
        <v>14</v>
      </c>
    </row>
    <row r="26" spans="1:45" ht="53.45" customHeight="1">
      <c r="Q26" s="27"/>
      <c r="R26" s="27"/>
      <c r="S26" s="12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4"/>
      <c r="U26" s="1264"/>
      <c r="V26" s="1264"/>
      <c r="W26" s="1264"/>
      <c r="X26" s="1264"/>
      <c r="Y26" s="1264"/>
      <c r="Z26" s="1264"/>
      <c r="AA26" s="1264"/>
      <c r="AB26" s="1264"/>
      <c r="AC26" s="1264"/>
      <c r="AD26" s="1264"/>
      <c r="AE26" s="1264"/>
      <c r="AF26" s="1264"/>
      <c r="AG26" s="1264"/>
      <c r="AH26" s="1264"/>
      <c r="AI26" s="1264"/>
      <c r="AJ26" s="1264"/>
      <c r="AK26" s="57"/>
      <c r="AS26" s="10">
        <v>51</v>
      </c>
    </row>
    <row r="27" spans="1:45" ht="14.65" customHeight="1">
      <c r="Q27" s="27"/>
      <c r="R27" s="27"/>
      <c r="S27" s="1236" t="str">
        <f>IF(org=0,"Не определено",org)</f>
        <v>Общество с ограниченной ответственностью "Березовский рудник"</v>
      </c>
      <c r="T27" s="1236"/>
      <c r="U27" s="1236"/>
      <c r="V27" s="1236"/>
      <c r="W27" s="1236"/>
      <c r="X27" s="1236"/>
      <c r="Y27" s="1236"/>
      <c r="Z27" s="1236"/>
      <c r="AA27" s="1236"/>
      <c r="AB27" s="1236"/>
      <c r="AC27" s="1236"/>
      <c r="AD27" s="1236"/>
      <c r="AE27" s="1236"/>
      <c r="AF27" s="1236"/>
      <c r="AG27" s="1236"/>
      <c r="AH27" s="1236"/>
      <c r="AI27" s="1236"/>
      <c r="AJ27" s="1236"/>
      <c r="AK27" s="57"/>
      <c r="AS27" s="10">
        <v>14</v>
      </c>
    </row>
    <row r="28" spans="1:45" ht="14.25" hidden="1" customHeight="1">
      <c r="Q28" s="27"/>
      <c r="R28" s="27"/>
      <c r="S28" s="736"/>
      <c r="T28" s="9"/>
      <c r="U28" s="9"/>
      <c r="V28" s="186"/>
      <c r="W28" s="186"/>
      <c r="X28" s="186"/>
      <c r="Y28" s="186"/>
      <c r="Z28" s="186"/>
      <c r="AA28" s="186"/>
      <c r="AB28" s="186"/>
      <c r="AC28" s="186"/>
      <c r="AD28" s="186"/>
      <c r="AE28" s="186"/>
      <c r="AF28" s="186"/>
      <c r="AG28" s="186"/>
      <c r="AH28" s="186"/>
      <c r="AI28" s="186"/>
      <c r="AJ28" s="186"/>
      <c r="AK28" s="186"/>
      <c r="AS28" s="10">
        <v>0</v>
      </c>
    </row>
    <row r="29" spans="1:45" s="34" customFormat="1" ht="25.5" hidden="1" customHeight="1">
      <c r="A29" s="79"/>
      <c r="B29" s="79"/>
      <c r="C29" s="79"/>
      <c r="D29" s="79"/>
      <c r="E29" s="79"/>
      <c r="F29" s="79"/>
      <c r="G29" s="79"/>
      <c r="H29" s="79"/>
      <c r="I29" s="79"/>
      <c r="J29" s="79"/>
      <c r="K29" s="79"/>
      <c r="L29" s="767"/>
      <c r="M29" s="79"/>
      <c r="N29" s="79"/>
      <c r="O29" s="79"/>
      <c r="S29" s="1274" t="s">
        <v>41</v>
      </c>
      <c r="T29" s="1274"/>
      <c r="U29" s="770"/>
      <c r="V29" s="1276" t="str">
        <f>IF(TITLE_NAME_OR_PR_CHANGE="",IF(TITLE_NAME_OR_PR="","",TITLE_NAME_OR_PR),TITLE_NAME_OR_PR_CHANGE)</f>
        <v/>
      </c>
      <c r="W29" s="1276"/>
      <c r="X29" s="1276"/>
      <c r="Y29" s="1276"/>
      <c r="Z29" s="1276"/>
      <c r="AA29" s="1276"/>
      <c r="AB29" s="1276"/>
      <c r="AC29" s="10"/>
      <c r="AD29" s="1276" t="str">
        <f>IF(TITLE_NAME_OR_PR_CHANGE="",IF(TITLE_NAME_OR_PR="","",TITLE_NAME_OR_PR),TITLE_NAME_OR_PR_CHANGE)</f>
        <v/>
      </c>
      <c r="AE29" s="1276"/>
      <c r="AF29" s="1276"/>
      <c r="AG29" s="1276"/>
      <c r="AH29" s="1276"/>
      <c r="AI29" s="1276"/>
      <c r="AJ29" s="1276"/>
      <c r="AK29" s="10"/>
      <c r="AL29" s="10"/>
      <c r="AM29" s="160"/>
      <c r="AN29" s="66"/>
      <c r="AO29" s="66"/>
      <c r="AP29" s="66"/>
      <c r="AQ29" s="66"/>
      <c r="AR29" s="66"/>
      <c r="AS29" s="34">
        <v>0</v>
      </c>
    </row>
    <row r="30" spans="1:45" s="34" customFormat="1" ht="18.75" hidden="1" customHeight="1">
      <c r="A30" s="79"/>
      <c r="B30" s="79"/>
      <c r="C30" s="79"/>
      <c r="D30" s="79"/>
      <c r="E30" s="79"/>
      <c r="F30" s="79"/>
      <c r="G30" s="79"/>
      <c r="H30" s="79"/>
      <c r="I30" s="79"/>
      <c r="J30" s="79"/>
      <c r="K30" s="79"/>
      <c r="L30" s="767"/>
      <c r="M30" s="79"/>
      <c r="N30" s="79"/>
      <c r="O30" s="79"/>
      <c r="S30" s="1274" t="s">
        <v>421</v>
      </c>
      <c r="T30" s="1274"/>
      <c r="U30" s="770"/>
      <c r="V30" s="1275">
        <f>IF(TITLE_DATE_PR_CHANGE="",IF(TITLE_DATE_PR="","",TITLE_DATE_PR),TITLE_DATE_PR_CHANGE)</f>
        <v>45805</v>
      </c>
      <c r="W30" s="1275"/>
      <c r="X30" s="1275"/>
      <c r="Y30" s="1275"/>
      <c r="Z30" s="1275"/>
      <c r="AA30" s="1275"/>
      <c r="AB30" s="1275"/>
      <c r="AC30" s="10"/>
      <c r="AD30" s="1275">
        <f>IF(TITLE_DATE_PR_CHANGE="",IF(TITLE_DATE_PR="","",TITLE_DATE_PR),TITLE_DATE_PR_CHANGE)</f>
        <v>45805</v>
      </c>
      <c r="AE30" s="1275"/>
      <c r="AF30" s="1275"/>
      <c r="AG30" s="1275"/>
      <c r="AH30" s="1275"/>
      <c r="AI30" s="1275"/>
      <c r="AJ30" s="1275"/>
      <c r="AK30" s="10"/>
      <c r="AL30" s="10"/>
      <c r="AM30" s="160"/>
      <c r="AN30" s="66"/>
      <c r="AO30" s="66"/>
      <c r="AP30" s="66"/>
      <c r="AQ30" s="66"/>
      <c r="AR30" s="66"/>
      <c r="AS30" s="34">
        <v>0</v>
      </c>
    </row>
    <row r="31" spans="1:45" s="34" customFormat="1" ht="18.75" hidden="1" customHeight="1">
      <c r="A31" s="79"/>
      <c r="B31" s="79"/>
      <c r="C31" s="79"/>
      <c r="D31" s="79"/>
      <c r="E31" s="79"/>
      <c r="F31" s="79"/>
      <c r="G31" s="79"/>
      <c r="H31" s="79"/>
      <c r="I31" s="79"/>
      <c r="J31" s="79"/>
      <c r="K31" s="79"/>
      <c r="L31" s="767"/>
      <c r="M31" s="79"/>
      <c r="N31" s="79"/>
      <c r="O31" s="79"/>
      <c r="S31" s="1274" t="s">
        <v>422</v>
      </c>
      <c r="T31" s="1274"/>
      <c r="U31" s="770"/>
      <c r="V31" s="1276" t="str">
        <f>IF(TITLE_NUMBER_PR_CHANGE="",IF(TITLE_NUMBER_PR="","",TITLE_NUMBER_PR),TITLE_NUMBER_PR_CHANGE)</f>
        <v>2496</v>
      </c>
      <c r="W31" s="1276"/>
      <c r="X31" s="1276"/>
      <c r="Y31" s="1276"/>
      <c r="Z31" s="1276"/>
      <c r="AA31" s="1276"/>
      <c r="AB31" s="1276"/>
      <c r="AC31" s="10"/>
      <c r="AD31" s="1276" t="str">
        <f>IF(TITLE_NUMBER_PR_CHANGE="",IF(TITLE_NUMBER_PR="","",TITLE_NUMBER_PR),TITLE_NUMBER_PR_CHANGE)</f>
        <v>2496</v>
      </c>
      <c r="AE31" s="1276"/>
      <c r="AF31" s="1276"/>
      <c r="AG31" s="1276"/>
      <c r="AH31" s="1276"/>
      <c r="AI31" s="1276"/>
      <c r="AJ31" s="1276"/>
      <c r="AK31" s="10"/>
      <c r="AL31" s="10"/>
      <c r="AM31" s="160"/>
      <c r="AN31" s="66"/>
      <c r="AO31" s="66"/>
      <c r="AP31" s="66"/>
      <c r="AQ31" s="66"/>
      <c r="AR31" s="66"/>
      <c r="AS31" s="34">
        <v>0</v>
      </c>
    </row>
    <row r="32" spans="1:45" s="34" customFormat="1" ht="18.75" hidden="1" customHeight="1">
      <c r="A32" s="79"/>
      <c r="B32" s="79"/>
      <c r="C32" s="79"/>
      <c r="D32" s="79"/>
      <c r="E32" s="79"/>
      <c r="F32" s="79"/>
      <c r="G32" s="79"/>
      <c r="H32" s="79"/>
      <c r="I32" s="79"/>
      <c r="J32" s="79"/>
      <c r="K32" s="79"/>
      <c r="L32" s="767"/>
      <c r="M32" s="79"/>
      <c r="N32" s="79"/>
      <c r="O32" s="79"/>
      <c r="S32" s="1274" t="s">
        <v>42</v>
      </c>
      <c r="T32" s="1274"/>
      <c r="U32" s="770"/>
      <c r="V32" s="1276" t="str">
        <f>IF(TITLE_IST_PUB_CHANGE="",IF(TITLE_IST_PUB="","",TITLE_IST_PUB),TITLE_IST_PUB_CHANGE)</f>
        <v/>
      </c>
      <c r="W32" s="1276"/>
      <c r="X32" s="1276"/>
      <c r="Y32" s="1276"/>
      <c r="Z32" s="1276"/>
      <c r="AA32" s="1276"/>
      <c r="AB32" s="1276"/>
      <c r="AC32" s="10"/>
      <c r="AD32" s="1276" t="str">
        <f>IF(TITLE_IST_PUB_CHANGE="",IF(TITLE_IST_PUB="","",TITLE_IST_PUB),TITLE_IST_PUB_CHANGE)</f>
        <v/>
      </c>
      <c r="AE32" s="1276"/>
      <c r="AF32" s="1276"/>
      <c r="AG32" s="1276"/>
      <c r="AH32" s="1276"/>
      <c r="AI32" s="1276"/>
      <c r="AJ32" s="1276"/>
      <c r="AK32" s="10"/>
      <c r="AL32" s="10"/>
      <c r="AM32" s="160"/>
      <c r="AN32" s="66"/>
      <c r="AO32" s="66"/>
      <c r="AP32" s="66"/>
      <c r="AQ32" s="66"/>
      <c r="AR32" s="66"/>
      <c r="AS32" s="34">
        <v>0</v>
      </c>
    </row>
    <row r="33" spans="1:45" ht="14.25" customHeight="1">
      <c r="Q33" s="27"/>
      <c r="R33" s="27"/>
      <c r="S33" s="736"/>
      <c r="T33" s="9"/>
      <c r="U33" s="9"/>
      <c r="V33" s="186"/>
      <c r="W33" s="186"/>
      <c r="X33" s="186"/>
      <c r="Y33" s="186"/>
      <c r="Z33" s="186"/>
      <c r="AA33" s="186"/>
      <c r="AB33" s="186"/>
      <c r="AC33" s="186"/>
      <c r="AD33" s="186"/>
      <c r="AE33" s="186"/>
      <c r="AF33" s="186"/>
      <c r="AG33" s="186"/>
      <c r="AH33" s="186"/>
      <c r="AI33" s="186"/>
      <c r="AJ33" s="186"/>
      <c r="AK33" s="186"/>
      <c r="AS33" s="10">
        <v>0</v>
      </c>
    </row>
    <row r="34" spans="1:45" s="34" customFormat="1" ht="18.75" customHeight="1">
      <c r="A34" s="79"/>
      <c r="B34" s="79"/>
      <c r="C34" s="79"/>
      <c r="D34" s="79"/>
      <c r="E34" s="79"/>
      <c r="F34" s="79"/>
      <c r="G34" s="79"/>
      <c r="H34" s="79"/>
      <c r="I34" s="79"/>
      <c r="J34" s="79"/>
      <c r="K34" s="79"/>
      <c r="L34" s="767"/>
      <c r="M34" s="79"/>
      <c r="N34" s="79"/>
      <c r="O34" s="79"/>
      <c r="S34" s="1274" t="s">
        <v>423</v>
      </c>
      <c r="T34" s="1274"/>
      <c r="U34" s="770"/>
      <c r="V34" s="1275">
        <f>IF(TITLE_DATE_PR_CHANGE="",IF(TITLE_DATE_PR="","",TITLE_DATE_PR),TITLE_DATE_PR_CHANGE)</f>
        <v>45805</v>
      </c>
      <c r="W34" s="1275"/>
      <c r="X34" s="1275"/>
      <c r="Y34" s="1275"/>
      <c r="Z34" s="1275"/>
      <c r="AA34" s="1275"/>
      <c r="AB34" s="1275"/>
      <c r="AC34" s="10"/>
      <c r="AD34" s="1275">
        <f>IF(TITLE_DATE_PR_CHANGE="",IF(TITLE_DATE_PR="","",TITLE_DATE_PR),TITLE_DATE_PR_CHANGE)</f>
        <v>45805</v>
      </c>
      <c r="AE34" s="1275"/>
      <c r="AF34" s="1275"/>
      <c r="AG34" s="1275"/>
      <c r="AH34" s="1275"/>
      <c r="AI34" s="1275"/>
      <c r="AJ34" s="1275"/>
      <c r="AK34" s="10"/>
      <c r="AL34" s="10"/>
      <c r="AM34" s="160"/>
      <c r="AN34" s="66"/>
      <c r="AO34" s="66"/>
      <c r="AP34" s="66"/>
      <c r="AQ34" s="66"/>
      <c r="AR34" s="66"/>
      <c r="AS34" s="34">
        <v>0</v>
      </c>
    </row>
    <row r="35" spans="1:45" s="34" customFormat="1" ht="25.5" customHeight="1">
      <c r="A35" s="79"/>
      <c r="B35" s="79"/>
      <c r="C35" s="79"/>
      <c r="D35" s="79"/>
      <c r="E35" s="79"/>
      <c r="F35" s="79"/>
      <c r="G35" s="79"/>
      <c r="H35" s="79"/>
      <c r="I35" s="79"/>
      <c r="J35" s="79"/>
      <c r="K35" s="79"/>
      <c r="L35" s="767"/>
      <c r="M35" s="79"/>
      <c r="N35" s="79"/>
      <c r="O35" s="79"/>
      <c r="S35" s="1274" t="s">
        <v>424</v>
      </c>
      <c r="T35" s="1274"/>
      <c r="U35" s="770"/>
      <c r="V35" s="1276" t="str">
        <f>IF(TITLE_NUMBER_PR_CHANGE="",IF(TITLE_NUMBER_PR="","",TITLE_NUMBER_PR),TITLE_NUMBER_PR_CHANGE)</f>
        <v>2496</v>
      </c>
      <c r="W35" s="1276"/>
      <c r="X35" s="1276"/>
      <c r="Y35" s="1276"/>
      <c r="Z35" s="1276"/>
      <c r="AA35" s="1276"/>
      <c r="AB35" s="1276"/>
      <c r="AC35" s="10"/>
      <c r="AD35" s="1276" t="str">
        <f>IF(TITLE_NUMBER_PR_CHANGE="",IF(TITLE_NUMBER_PR="","",TITLE_NUMBER_PR),TITLE_NUMBER_PR_CHANGE)</f>
        <v>2496</v>
      </c>
      <c r="AE35" s="1276"/>
      <c r="AF35" s="1276"/>
      <c r="AG35" s="1276"/>
      <c r="AH35" s="1276"/>
      <c r="AI35" s="1276"/>
      <c r="AJ35" s="1276"/>
      <c r="AK35" s="10"/>
      <c r="AL35" s="10"/>
      <c r="AM35" s="160"/>
      <c r="AN35" s="66"/>
      <c r="AO35" s="66"/>
      <c r="AP35" s="66"/>
      <c r="AQ35" s="66"/>
      <c r="AR35" s="66"/>
      <c r="AS35" s="34">
        <v>0</v>
      </c>
    </row>
    <row r="36" spans="1:45" s="34" customFormat="1" ht="0" hidden="1" customHeight="1">
      <c r="A36" s="79"/>
      <c r="B36" s="79"/>
      <c r="C36" s="79"/>
      <c r="D36" s="79"/>
      <c r="E36" s="79"/>
      <c r="F36" s="79"/>
      <c r="G36" s="79"/>
      <c r="H36" s="79"/>
      <c r="I36" s="79"/>
      <c r="J36" s="79"/>
      <c r="K36" s="79"/>
      <c r="L36" s="767"/>
      <c r="M36" s="79"/>
      <c r="N36" s="79"/>
      <c r="O36" s="79"/>
      <c r="S36" s="10"/>
      <c r="T36" s="10"/>
      <c r="U36" s="75"/>
      <c r="V36" s="10"/>
      <c r="W36" s="10"/>
      <c r="X36" s="10"/>
      <c r="Y36" s="10"/>
      <c r="Z36" s="10"/>
      <c r="AA36" s="10"/>
      <c r="AB36" s="10"/>
      <c r="AC36" s="65" t="s">
        <v>425</v>
      </c>
      <c r="AD36" s="10"/>
      <c r="AE36" s="10"/>
      <c r="AF36" s="10"/>
      <c r="AG36" s="10"/>
      <c r="AH36" s="10"/>
      <c r="AI36" s="10"/>
      <c r="AJ36" s="10"/>
      <c r="AK36" s="65" t="s">
        <v>425</v>
      </c>
      <c r="AN36" s="66"/>
      <c r="AO36" s="66"/>
      <c r="AP36" s="66"/>
      <c r="AQ36" s="66"/>
      <c r="AR36" s="66"/>
      <c r="AS36" s="34">
        <v>0</v>
      </c>
    </row>
    <row r="37" spans="1:45" ht="14.65" customHeight="1">
      <c r="Q37" s="27"/>
      <c r="R37" s="27"/>
      <c r="S37" s="736"/>
      <c r="T37" s="9"/>
      <c r="U37" s="717"/>
      <c r="V37" s="1295"/>
      <c r="W37" s="1295"/>
      <c r="X37" s="1295"/>
      <c r="Y37" s="1295"/>
      <c r="Z37" s="1295"/>
      <c r="AA37" s="1295"/>
      <c r="AB37" s="1295"/>
      <c r="AC37" s="1295"/>
      <c r="AD37" s="1295"/>
      <c r="AE37" s="1295"/>
      <c r="AF37" s="1295"/>
      <c r="AG37" s="1295"/>
      <c r="AH37" s="1295"/>
      <c r="AI37" s="1295"/>
      <c r="AJ37" s="1295"/>
      <c r="AK37" s="1295"/>
      <c r="AS37" s="10">
        <v>14</v>
      </c>
    </row>
    <row r="38" spans="1:45" ht="14.65" customHeight="1">
      <c r="Q38" s="27"/>
      <c r="R38" s="27"/>
      <c r="S38" s="1146" t="s">
        <v>300</v>
      </c>
      <c r="T38" s="1146"/>
      <c r="U38" s="1146"/>
      <c r="V38" s="1146"/>
      <c r="W38" s="1146"/>
      <c r="X38" s="1146"/>
      <c r="Y38" s="1146"/>
      <c r="Z38" s="1146"/>
      <c r="AA38" s="1146"/>
      <c r="AB38" s="1146"/>
      <c r="AC38" s="1146"/>
      <c r="AD38" s="1146"/>
      <c r="AE38" s="1146"/>
      <c r="AF38" s="1146"/>
      <c r="AG38" s="1146"/>
      <c r="AH38" s="1146"/>
      <c r="AI38" s="1146"/>
      <c r="AJ38" s="1146"/>
      <c r="AK38" s="1146"/>
      <c r="AL38" s="1146"/>
      <c r="AM38" s="1146" t="s">
        <v>301</v>
      </c>
      <c r="AS38" s="10">
        <v>14</v>
      </c>
    </row>
    <row r="39" spans="1:45" ht="14.65" customHeight="1">
      <c r="Q39" s="27"/>
      <c r="R39" s="27"/>
      <c r="S39" s="1296" t="s">
        <v>86</v>
      </c>
      <c r="T39" s="1244" t="s">
        <v>426</v>
      </c>
      <c r="U39" s="169"/>
      <c r="V39" s="1297" t="s">
        <v>427</v>
      </c>
      <c r="W39" s="1298"/>
      <c r="X39" s="1298"/>
      <c r="Y39" s="1298"/>
      <c r="Z39" s="1298"/>
      <c r="AA39" s="1298"/>
      <c r="AB39" s="1299"/>
      <c r="AC39" s="1300" t="s">
        <v>428</v>
      </c>
      <c r="AD39" s="1297" t="s">
        <v>427</v>
      </c>
      <c r="AE39" s="1298"/>
      <c r="AF39" s="1298"/>
      <c r="AG39" s="1298"/>
      <c r="AH39" s="1298"/>
      <c r="AI39" s="1298"/>
      <c r="AJ39" s="1299"/>
      <c r="AK39" s="1300" t="s">
        <v>429</v>
      </c>
      <c r="AL39" s="1303" t="s">
        <v>430</v>
      </c>
      <c r="AM39" s="1146"/>
      <c r="AS39" s="10">
        <v>14</v>
      </c>
    </row>
    <row r="40" spans="1:45" ht="35.65" customHeight="1">
      <c r="Q40" s="27"/>
      <c r="R40" s="27"/>
      <c r="S40" s="1296"/>
      <c r="T40" s="1244"/>
      <c r="U40" s="604"/>
      <c r="V40" s="1216" t="s">
        <v>431</v>
      </c>
      <c r="W40" s="1292"/>
      <c r="X40" s="1128" t="s">
        <v>433</v>
      </c>
      <c r="Y40" s="1127"/>
      <c r="Z40" s="1128" t="s">
        <v>434</v>
      </c>
      <c r="AA40" s="1133"/>
      <c r="AB40" s="1127"/>
      <c r="AC40" s="1301"/>
      <c r="AD40" s="1216" t="s">
        <v>447</v>
      </c>
      <c r="AE40" s="1292"/>
      <c r="AF40" s="1128" t="s">
        <v>433</v>
      </c>
      <c r="AG40" s="1127"/>
      <c r="AH40" s="1128" t="s">
        <v>434</v>
      </c>
      <c r="AI40" s="1133"/>
      <c r="AJ40" s="1127"/>
      <c r="AK40" s="1301"/>
      <c r="AL40" s="1304"/>
      <c r="AM40" s="1146"/>
      <c r="AS40" s="10">
        <v>34</v>
      </c>
    </row>
    <row r="41" spans="1:45" ht="35.65" customHeight="1">
      <c r="A41" s="79"/>
      <c r="B41" s="79" t="s">
        <v>133</v>
      </c>
      <c r="C41" s="79" t="s">
        <v>134</v>
      </c>
      <c r="D41" s="79" t="s">
        <v>135</v>
      </c>
      <c r="E41" s="767" t="s">
        <v>435</v>
      </c>
      <c r="F41" s="767" t="s">
        <v>436</v>
      </c>
      <c r="G41" s="767" t="s">
        <v>437</v>
      </c>
      <c r="H41" s="767" t="s">
        <v>438</v>
      </c>
      <c r="I41" s="767" t="s">
        <v>439</v>
      </c>
      <c r="J41" s="767" t="s">
        <v>440</v>
      </c>
      <c r="K41" s="767" t="s">
        <v>441</v>
      </c>
      <c r="L41" s="767" t="s">
        <v>416</v>
      </c>
      <c r="Q41" s="27"/>
      <c r="R41" s="27"/>
      <c r="S41" s="1296"/>
      <c r="T41" s="1244"/>
      <c r="U41" s="170"/>
      <c r="V41" s="1269"/>
      <c r="W41" s="1293"/>
      <c r="X41" s="38" t="s">
        <v>442</v>
      </c>
      <c r="Y41" s="38" t="s">
        <v>443</v>
      </c>
      <c r="Z41" s="38" t="s">
        <v>444</v>
      </c>
      <c r="AA41" s="1249" t="s">
        <v>445</v>
      </c>
      <c r="AB41" s="1263"/>
      <c r="AC41" s="1302"/>
      <c r="AD41" s="1269"/>
      <c r="AE41" s="1293"/>
      <c r="AF41" s="38" t="s">
        <v>442</v>
      </c>
      <c r="AG41" s="38" t="s">
        <v>443</v>
      </c>
      <c r="AH41" s="38" t="s">
        <v>444</v>
      </c>
      <c r="AI41" s="1249" t="s">
        <v>445</v>
      </c>
      <c r="AJ41" s="1263"/>
      <c r="AK41" s="1302"/>
      <c r="AL41" s="1305"/>
      <c r="AM41" s="1146"/>
      <c r="AS41" s="10">
        <v>34</v>
      </c>
    </row>
    <row r="42" spans="1:45" s="200" customFormat="1" ht="11.25" hidden="1" customHeight="1">
      <c r="A42" s="79"/>
      <c r="B42" s="79"/>
      <c r="C42" s="79"/>
      <c r="D42" s="79"/>
      <c r="E42" s="79"/>
      <c r="F42" s="79"/>
      <c r="G42" s="79"/>
      <c r="H42" s="79"/>
      <c r="I42" s="79"/>
      <c r="J42" s="79"/>
      <c r="K42" s="79"/>
      <c r="L42" s="767"/>
      <c r="M42" s="503"/>
      <c r="N42" s="503"/>
      <c r="O42" s="503"/>
      <c r="P42" s="719"/>
      <c r="Q42" s="720"/>
      <c r="R42" s="722">
        <v>1</v>
      </c>
      <c r="S42" s="738" t="s">
        <v>107</v>
      </c>
      <c r="T42" s="723" t="s">
        <v>108</v>
      </c>
      <c r="U42" s="718" t="str">
        <f ca="1">OFFSET(U42,0,-1)</f>
        <v>2</v>
      </c>
      <c r="V42" s="724">
        <f ca="1">OFFSET(V42,0,-1)+1</f>
        <v>3</v>
      </c>
      <c r="W42" s="724"/>
      <c r="X42" s="724">
        <f ca="1">OFFSET(X42,0,-1)+1</f>
        <v>1</v>
      </c>
      <c r="Y42" s="724">
        <f ca="1">OFFSET(Y42,0,-1)+1</f>
        <v>2</v>
      </c>
      <c r="Z42" s="724">
        <f ca="1">OFFSET(Z42,0,-1)+1</f>
        <v>3</v>
      </c>
      <c r="AA42" s="1294">
        <f ca="1">OFFSET(AA42,0,-1)+1</f>
        <v>4</v>
      </c>
      <c r="AB42" s="1294"/>
      <c r="AC42" s="724">
        <f ca="1">OFFSET(AC42,0,-2)+1</f>
        <v>5</v>
      </c>
      <c r="AD42" s="724">
        <f ca="1">OFFSET(AD42,0,-1)+1</f>
        <v>6</v>
      </c>
      <c r="AE42" s="724"/>
      <c r="AF42" s="724">
        <f ca="1">OFFSET(AF42,0,-1)+1</f>
        <v>1</v>
      </c>
      <c r="AG42" s="724">
        <f ca="1">OFFSET(AG42,0,-1)+1</f>
        <v>2</v>
      </c>
      <c r="AH42" s="724">
        <f ca="1">OFFSET(AH42,0,-1)+1</f>
        <v>3</v>
      </c>
      <c r="AI42" s="1294">
        <f ca="1">OFFSET(AI42,0,-1)+1</f>
        <v>4</v>
      </c>
      <c r="AJ42" s="1294"/>
      <c r="AK42" s="724">
        <f ca="1">OFFSET(AK42,0,-2)+1</f>
        <v>5</v>
      </c>
      <c r="AL42" s="718">
        <f ca="1">OFFSET(AL42,0,-1)</f>
        <v>5</v>
      </c>
      <c r="AM42" s="724">
        <f ca="1">OFFSET(AM42,0,-1)+1</f>
        <v>6</v>
      </c>
      <c r="AN42" s="65"/>
      <c r="AO42" s="65"/>
      <c r="AP42" s="65"/>
      <c r="AQ42" s="65"/>
      <c r="AR42" s="65"/>
      <c r="AS42" s="200">
        <v>0</v>
      </c>
    </row>
    <row r="43" spans="1:45" ht="21.95" customHeight="1">
      <c r="A43" s="766" t="s">
        <v>184</v>
      </c>
      <c r="B43" s="766"/>
      <c r="C43" s="766"/>
      <c r="D43" s="766"/>
      <c r="E43" s="1283">
        <v>1</v>
      </c>
      <c r="F43" s="766"/>
      <c r="G43" s="766"/>
      <c r="H43" s="766"/>
      <c r="I43" s="766"/>
      <c r="J43" s="766"/>
      <c r="K43" s="766"/>
      <c r="L43" s="767"/>
      <c r="M43" s="423"/>
      <c r="N43" s="423"/>
      <c r="O43" s="423"/>
      <c r="Q43" s="33"/>
      <c r="R43" s="204"/>
      <c r="S43" s="706">
        <f>INDEX(PT_DIFFERENTIATION_NUM_NTAR,MATCH(A43,PT_DIFFERENTIATION_NTAR_ID,0))</f>
        <v>0</v>
      </c>
      <c r="T43" s="64" t="s">
        <v>121</v>
      </c>
      <c r="U43" s="168"/>
      <c r="V43" s="1277"/>
      <c r="W43" s="1278"/>
      <c r="X43" s="1278"/>
      <c r="Y43" s="1278"/>
      <c r="Z43" s="1278"/>
      <c r="AA43" s="1278"/>
      <c r="AB43" s="1278"/>
      <c r="AC43" s="1279"/>
      <c r="AD43" s="1277" t="str">
        <f>INDEX(PT_DIFFERENTIATION_NTAR,MATCH(A43,PT_DIFFERENTIATION_NTAR_ID,0))</f>
        <v/>
      </c>
      <c r="AE43" s="1278"/>
      <c r="AF43" s="1278"/>
      <c r="AG43" s="1278"/>
      <c r="AH43" s="1278"/>
      <c r="AI43" s="1278"/>
      <c r="AJ43" s="1278"/>
      <c r="AK43" s="1278"/>
      <c r="AL43" s="1279"/>
      <c r="AM43" s="72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66" t="s">
        <v>184</v>
      </c>
      <c r="B44" s="766" t="s">
        <v>185</v>
      </c>
      <c r="C44" s="766"/>
      <c r="D44" s="766"/>
      <c r="E44" s="1284"/>
      <c r="F44" s="1283">
        <v>1</v>
      </c>
      <c r="G44" s="766"/>
      <c r="H44" s="766"/>
      <c r="I44" s="766"/>
      <c r="J44" s="766"/>
      <c r="K44" s="766"/>
      <c r="L44" s="767"/>
      <c r="M44" s="423"/>
      <c r="N44" s="423"/>
      <c r="O44" s="423"/>
      <c r="P44" s="56"/>
      <c r="Q44" s="201"/>
      <c r="R44" s="202"/>
      <c r="S44" s="706" t="str">
        <f>INDEX(PT_DIFFERENTIATION_NUM_TER,MATCH(B44,PT_DIFFERENTIATION_TER_ID,0))</f>
        <v>.</v>
      </c>
      <c r="T44" s="174" t="s">
        <v>397</v>
      </c>
      <c r="U44" s="168"/>
      <c r="V44" s="1277"/>
      <c r="W44" s="1278"/>
      <c r="X44" s="1278"/>
      <c r="Y44" s="1278"/>
      <c r="Z44" s="1278"/>
      <c r="AA44" s="1278"/>
      <c r="AB44" s="1278"/>
      <c r="AC44" s="1279"/>
      <c r="AD44" s="1277" t="str">
        <f>INDEX(PT_DIFFERENTIATION_TER,MATCH(B44,PT_DIFFERENTIATION_TER_ID,0))</f>
        <v/>
      </c>
      <c r="AE44" s="1278"/>
      <c r="AF44" s="1278"/>
      <c r="AG44" s="1278"/>
      <c r="AH44" s="1278"/>
      <c r="AI44" s="1278"/>
      <c r="AJ44" s="1278"/>
      <c r="AK44" s="1278"/>
      <c r="AL44" s="1279"/>
      <c r="AM44" s="726" t="s">
        <v>398</v>
      </c>
      <c r="AO44" s="66"/>
      <c r="AP44" s="66" t="str">
        <f t="shared" si="1"/>
        <v>Территория действия тарифа</v>
      </c>
      <c r="AQ44" s="66"/>
      <c r="AR44" s="66"/>
      <c r="AS44" s="10">
        <v>21</v>
      </c>
    </row>
    <row r="45" spans="1:45" ht="24" customHeight="1">
      <c r="A45" s="766" t="s">
        <v>184</v>
      </c>
      <c r="B45" s="766" t="s">
        <v>185</v>
      </c>
      <c r="C45" s="766" t="s">
        <v>186</v>
      </c>
      <c r="D45" s="766"/>
      <c r="E45" s="1284"/>
      <c r="F45" s="1284"/>
      <c r="G45" s="1283">
        <v>1</v>
      </c>
      <c r="H45" s="766"/>
      <c r="I45" s="766"/>
      <c r="J45" s="766"/>
      <c r="K45" s="766"/>
      <c r="L45" s="767"/>
      <c r="M45" s="423"/>
      <c r="N45" s="423"/>
      <c r="O45" s="423"/>
      <c r="P45" s="203"/>
      <c r="Q45" s="201"/>
      <c r="R45" s="202"/>
      <c r="S45" s="706" t="str">
        <f>INDEX(PT_DIFFERENTIATION_NUM_CS,MATCH(C45,PT_DIFFERENTIATION_CS_ID,0))</f>
        <v>..</v>
      </c>
      <c r="T45" s="175" t="s">
        <v>399</v>
      </c>
      <c r="U45" s="168"/>
      <c r="V45" s="1277"/>
      <c r="W45" s="1278"/>
      <c r="X45" s="1278"/>
      <c r="Y45" s="1278"/>
      <c r="Z45" s="1278"/>
      <c r="AA45" s="1278"/>
      <c r="AB45" s="1278"/>
      <c r="AC45" s="1279"/>
      <c r="AD45" s="1277" t="str">
        <f>INDEX(PT_DIFFERENTIATION_CS,MATCH(C45,PT_DIFFERENTIATION_CS_ID,0))</f>
        <v/>
      </c>
      <c r="AE45" s="1278"/>
      <c r="AF45" s="1278"/>
      <c r="AG45" s="1278"/>
      <c r="AH45" s="1278"/>
      <c r="AI45" s="1278"/>
      <c r="AJ45" s="1278"/>
      <c r="AK45" s="1278"/>
      <c r="AL45" s="1279"/>
      <c r="AM45" s="726" t="s">
        <v>400</v>
      </c>
      <c r="AO45" s="66"/>
      <c r="AP45" s="66" t="str">
        <f t="shared" si="1"/>
        <v xml:space="preserve">Наименование системы теплоснабжения </v>
      </c>
      <c r="AQ45" s="66"/>
      <c r="AR45" s="66"/>
      <c r="AS45" s="10">
        <v>23</v>
      </c>
    </row>
    <row r="46" spans="1:45" ht="21.95" customHeight="1">
      <c r="A46" s="766" t="s">
        <v>184</v>
      </c>
      <c r="B46" s="766" t="s">
        <v>185</v>
      </c>
      <c r="C46" s="766" t="s">
        <v>186</v>
      </c>
      <c r="D46" s="766" t="s">
        <v>187</v>
      </c>
      <c r="E46" s="1284"/>
      <c r="F46" s="1284"/>
      <c r="G46" s="1284"/>
      <c r="H46" s="1283">
        <v>1</v>
      </c>
      <c r="I46" s="766"/>
      <c r="J46" s="766"/>
      <c r="K46" s="766"/>
      <c r="L46" s="767"/>
      <c r="M46" s="423"/>
      <c r="N46" s="423"/>
      <c r="O46" s="423"/>
      <c r="P46" s="203"/>
      <c r="Q46" s="201"/>
      <c r="R46" s="202"/>
      <c r="S46" s="706" t="str">
        <f>INDEX(PT_DIFFERENTIATION_NUM_IST_TE,MATCH(D46,PT_DIFFERENTIATION_IST_TE_ID,0))</f>
        <v>...</v>
      </c>
      <c r="T46" s="176" t="s">
        <v>401</v>
      </c>
      <c r="U46" s="168"/>
      <c r="V46" s="1277"/>
      <c r="W46" s="1278"/>
      <c r="X46" s="1278"/>
      <c r="Y46" s="1278"/>
      <c r="Z46" s="1278"/>
      <c r="AA46" s="1278"/>
      <c r="AB46" s="1278"/>
      <c r="AC46" s="1279"/>
      <c r="AD46" s="1277" t="str">
        <f>INDEX(PT_DIFFERENTIATION_IST_TE,MATCH(D46,PT_DIFFERENTIATION_IST_TE_ID,0))</f>
        <v/>
      </c>
      <c r="AE46" s="1278"/>
      <c r="AF46" s="1278"/>
      <c r="AG46" s="1278"/>
      <c r="AH46" s="1278"/>
      <c r="AI46" s="1278"/>
      <c r="AJ46" s="1278"/>
      <c r="AK46" s="1278"/>
      <c r="AL46" s="1279"/>
      <c r="AM46" s="726" t="s">
        <v>402</v>
      </c>
      <c r="AO46" s="66"/>
      <c r="AP46" s="66" t="str">
        <f t="shared" si="1"/>
        <v xml:space="preserve">Источник тепловой энергии  </v>
      </c>
      <c r="AQ46" s="66"/>
      <c r="AR46" s="66"/>
      <c r="AS46" s="10">
        <v>21</v>
      </c>
    </row>
    <row r="47" spans="1:45" s="65" customFormat="1" ht="0" hidden="1" customHeight="1">
      <c r="A47" s="142" t="s">
        <v>184</v>
      </c>
      <c r="B47" s="142" t="s">
        <v>185</v>
      </c>
      <c r="C47" s="142" t="s">
        <v>186</v>
      </c>
      <c r="D47" s="142" t="s">
        <v>187</v>
      </c>
      <c r="E47" s="1284"/>
      <c r="F47" s="1284"/>
      <c r="G47" s="1284"/>
      <c r="H47" s="1284"/>
      <c r="I47" s="1285" t="str">
        <f>S46&amp;".1"</f>
        <v>....1</v>
      </c>
      <c r="J47" s="142"/>
      <c r="K47" s="142"/>
      <c r="L47" s="343" t="s">
        <v>403</v>
      </c>
      <c r="M47" s="287"/>
      <c r="N47" s="287"/>
      <c r="O47" s="287"/>
      <c r="P47" s="1287">
        <v>1</v>
      </c>
      <c r="Q47" s="119"/>
      <c r="R47" s="205"/>
      <c r="S47" s="359"/>
      <c r="T47" s="776"/>
      <c r="U47" s="777"/>
      <c r="V47" s="1314"/>
      <c r="W47" s="1315"/>
      <c r="X47" s="1315"/>
      <c r="Y47" s="1315"/>
      <c r="Z47" s="1315"/>
      <c r="AA47" s="1315"/>
      <c r="AB47" s="1315"/>
      <c r="AC47" s="1316"/>
      <c r="AD47" s="1314"/>
      <c r="AE47" s="1315"/>
      <c r="AF47" s="1315"/>
      <c r="AG47" s="1315"/>
      <c r="AH47" s="1315"/>
      <c r="AI47" s="1315"/>
      <c r="AJ47" s="1315"/>
      <c r="AK47" s="1315"/>
      <c r="AL47" s="1316"/>
      <c r="AM47" s="778"/>
      <c r="AO47" s="66"/>
      <c r="AP47" s="66" t="str">
        <f t="shared" si="1"/>
        <v/>
      </c>
      <c r="AQ47" s="66"/>
      <c r="AR47" s="66"/>
      <c r="AS47" s="65">
        <v>0</v>
      </c>
    </row>
    <row r="48" spans="1:45" ht="21.95" customHeight="1">
      <c r="A48" s="766" t="s">
        <v>184</v>
      </c>
      <c r="B48" s="766" t="s">
        <v>185</v>
      </c>
      <c r="C48" s="766" t="s">
        <v>186</v>
      </c>
      <c r="D48" s="766" t="s">
        <v>187</v>
      </c>
      <c r="E48" s="1284"/>
      <c r="F48" s="1284"/>
      <c r="G48" s="1284"/>
      <c r="H48" s="1284"/>
      <c r="I48" s="1286"/>
      <c r="J48" s="1285" t="str">
        <f>S46&amp;".1"</f>
        <v>....1</v>
      </c>
      <c r="K48" s="766"/>
      <c r="L48" s="767" t="s">
        <v>406</v>
      </c>
      <c r="P48" s="1287"/>
      <c r="Q48" s="1287">
        <v>1</v>
      </c>
      <c r="R48" s="206"/>
      <c r="S48" s="706" t="str">
        <f>$J48</f>
        <v>....1</v>
      </c>
      <c r="T48" s="162" t="s">
        <v>407</v>
      </c>
      <c r="U48" s="168"/>
      <c r="V48" s="1271"/>
      <c r="W48" s="1272"/>
      <c r="X48" s="1272"/>
      <c r="Y48" s="1272"/>
      <c r="Z48" s="1272"/>
      <c r="AA48" s="1272"/>
      <c r="AB48" s="1272"/>
      <c r="AC48" s="1273"/>
      <c r="AD48" s="1271"/>
      <c r="AE48" s="1272"/>
      <c r="AF48" s="1272"/>
      <c r="AG48" s="1272"/>
      <c r="AH48" s="1272"/>
      <c r="AI48" s="1272"/>
      <c r="AJ48" s="1272"/>
      <c r="AK48" s="1272"/>
      <c r="AL48" s="1273"/>
      <c r="AM48" s="726" t="s">
        <v>408</v>
      </c>
      <c r="AO48" s="66"/>
      <c r="AP48" s="66" t="str">
        <f t="shared" si="1"/>
        <v>Группа потребителей</v>
      </c>
      <c r="AQ48" s="66"/>
      <c r="AR48" s="66"/>
      <c r="AS48" s="10">
        <v>21</v>
      </c>
    </row>
    <row r="49" spans="1:45" ht="21.95" customHeight="1">
      <c r="A49" s="766" t="s">
        <v>184</v>
      </c>
      <c r="B49" s="766" t="s">
        <v>185</v>
      </c>
      <c r="C49" s="766" t="s">
        <v>186</v>
      </c>
      <c r="D49" s="766" t="s">
        <v>187</v>
      </c>
      <c r="E49" s="1284"/>
      <c r="F49" s="1284"/>
      <c r="G49" s="1284"/>
      <c r="H49" s="1284"/>
      <c r="I49" s="1286"/>
      <c r="J49" s="1286"/>
      <c r="K49" s="1285" t="str">
        <f>J48&amp;".1"</f>
        <v>....1.1</v>
      </c>
      <c r="L49" s="767" t="s">
        <v>409</v>
      </c>
      <c r="P49" s="1287"/>
      <c r="Q49" s="1287"/>
      <c r="R49" s="206">
        <v>1</v>
      </c>
      <c r="S49" s="706" t="str">
        <f>$K49</f>
        <v>....1.1</v>
      </c>
      <c r="T49" s="762"/>
      <c r="U49" s="168"/>
      <c r="V49" s="303"/>
      <c r="W49" s="188"/>
      <c r="X49" s="303"/>
      <c r="Y49" s="725"/>
      <c r="Z49" s="1288"/>
      <c r="AA49" s="1156" t="s">
        <v>64</v>
      </c>
      <c r="AB49" s="1288"/>
      <c r="AC49" s="1156" t="s">
        <v>64</v>
      </c>
      <c r="AD49" s="303"/>
      <c r="AE49" s="188"/>
      <c r="AF49" s="303"/>
      <c r="AG49" s="725"/>
      <c r="AH49" s="1288"/>
      <c r="AI49" s="1156" t="s">
        <v>64</v>
      </c>
      <c r="AJ49" s="1290"/>
      <c r="AK49" s="1156" t="s">
        <v>64</v>
      </c>
      <c r="AL49" s="763"/>
      <c r="AM49" s="1306" t="s">
        <v>448</v>
      </c>
      <c r="AN49" s="65" t="e">
        <f ca="1">STRCHECKDATE(V50:AL50)</f>
        <v>#NAME?</v>
      </c>
      <c r="AO49" s="66"/>
      <c r="AP49" s="66" t="str">
        <f t="shared" si="1"/>
        <v/>
      </c>
      <c r="AQ49" s="66"/>
      <c r="AR49" s="66"/>
      <c r="AS49" s="10">
        <v>21</v>
      </c>
    </row>
    <row r="50" spans="1:45" ht="0" hidden="1" customHeight="1">
      <c r="A50" s="766" t="s">
        <v>184</v>
      </c>
      <c r="B50" s="766" t="s">
        <v>185</v>
      </c>
      <c r="C50" s="766" t="s">
        <v>186</v>
      </c>
      <c r="D50" s="766" t="s">
        <v>187</v>
      </c>
      <c r="E50" s="1284"/>
      <c r="F50" s="1284"/>
      <c r="G50" s="1284"/>
      <c r="H50" s="1284"/>
      <c r="I50" s="1286"/>
      <c r="J50" s="1286"/>
      <c r="K50" s="1285"/>
      <c r="L50" s="767"/>
      <c r="P50" s="1287"/>
      <c r="Q50" s="1287"/>
      <c r="R50" s="206"/>
      <c r="S50" s="62"/>
      <c r="T50" s="168"/>
      <c r="U50" s="168"/>
      <c r="V50" s="188"/>
      <c r="W50" s="188"/>
      <c r="X50" s="188"/>
      <c r="Y50" s="189" t="str">
        <f>Z49&amp;"-"&amp;AB49</f>
        <v>-</v>
      </c>
      <c r="Z50" s="1289"/>
      <c r="AA50" s="1156"/>
      <c r="AB50" s="1289"/>
      <c r="AC50" s="1156"/>
      <c r="AD50" s="188"/>
      <c r="AE50" s="188"/>
      <c r="AF50" s="188"/>
      <c r="AG50" s="189" t="str">
        <f>AH49&amp;"-"&amp;AJ49</f>
        <v>-</v>
      </c>
      <c r="AH50" s="1289"/>
      <c r="AI50" s="1156"/>
      <c r="AJ50" s="1291"/>
      <c r="AK50" s="1156"/>
      <c r="AL50" s="764"/>
      <c r="AM50" s="1307"/>
      <c r="AO50" s="66"/>
      <c r="AP50" s="66" t="str">
        <f t="shared" si="1"/>
        <v/>
      </c>
      <c r="AQ50" s="66"/>
      <c r="AR50" s="66"/>
      <c r="AS50" s="10">
        <v>0</v>
      </c>
    </row>
    <row r="51" spans="1:45" ht="11.45" customHeight="1">
      <c r="A51" s="766" t="s">
        <v>184</v>
      </c>
      <c r="B51" s="766" t="s">
        <v>185</v>
      </c>
      <c r="C51" s="766" t="s">
        <v>186</v>
      </c>
      <c r="D51" s="766" t="s">
        <v>187</v>
      </c>
      <c r="E51" s="1284"/>
      <c r="F51" s="1284"/>
      <c r="G51" s="1284"/>
      <c r="H51" s="1284"/>
      <c r="I51" s="1286"/>
      <c r="J51" s="1285"/>
      <c r="K51" s="766"/>
      <c r="L51" s="767"/>
      <c r="P51" s="1287"/>
      <c r="Q51" s="1287"/>
      <c r="R51" s="205"/>
      <c r="S51" s="739"/>
      <c r="T51" s="163" t="s">
        <v>411</v>
      </c>
      <c r="U51" s="210"/>
      <c r="V51" s="210"/>
      <c r="W51" s="210"/>
      <c r="X51" s="210"/>
      <c r="Y51" s="210"/>
      <c r="Z51" s="210"/>
      <c r="AA51" s="210"/>
      <c r="AB51" s="210"/>
      <c r="AC51" s="210"/>
      <c r="AD51" s="210"/>
      <c r="AE51" s="210"/>
      <c r="AF51" s="210"/>
      <c r="AG51" s="210"/>
      <c r="AH51" s="210"/>
      <c r="AI51" s="210"/>
      <c r="AJ51" s="210"/>
      <c r="AK51" s="210"/>
      <c r="AL51" s="187"/>
      <c r="AM51" s="1308"/>
      <c r="AO51" s="66"/>
      <c r="AP51" s="66" t="str">
        <f t="shared" si="1"/>
        <v>Добавить вид теплоносителя (параметры теплоносителя)</v>
      </c>
      <c r="AQ51" s="66"/>
      <c r="AR51" s="66"/>
      <c r="AS51" s="10">
        <v>11</v>
      </c>
    </row>
    <row r="52" spans="1:45" ht="11.45" customHeight="1">
      <c r="A52" s="766" t="s">
        <v>184</v>
      </c>
      <c r="B52" s="766" t="s">
        <v>185</v>
      </c>
      <c r="C52" s="766" t="s">
        <v>186</v>
      </c>
      <c r="D52" s="766" t="s">
        <v>187</v>
      </c>
      <c r="E52" s="1284"/>
      <c r="F52" s="1284"/>
      <c r="G52" s="1284"/>
      <c r="H52" s="1284"/>
      <c r="I52" s="1285"/>
      <c r="J52" s="766"/>
      <c r="K52" s="766"/>
      <c r="L52" s="767"/>
      <c r="P52" s="1287"/>
      <c r="Q52" s="119"/>
      <c r="R52" s="205"/>
      <c r="S52" s="739"/>
      <c r="T52" s="208" t="s">
        <v>412</v>
      </c>
      <c r="U52" s="210"/>
      <c r="V52" s="210"/>
      <c r="W52" s="210"/>
      <c r="X52" s="210"/>
      <c r="Y52" s="210"/>
      <c r="Z52" s="210"/>
      <c r="AA52" s="210"/>
      <c r="AB52" s="210"/>
      <c r="AC52" s="209"/>
      <c r="AD52" s="210"/>
      <c r="AE52" s="210"/>
      <c r="AF52" s="210"/>
      <c r="AG52" s="210"/>
      <c r="AH52" s="210"/>
      <c r="AI52" s="210"/>
      <c r="AJ52" s="210"/>
      <c r="AK52" s="209"/>
      <c r="AL52" s="210"/>
      <c r="AM52" s="171"/>
      <c r="AO52" s="66"/>
      <c r="AP52" s="66" t="str">
        <f t="shared" si="1"/>
        <v>Добавить группу потребителей</v>
      </c>
      <c r="AQ52" s="66"/>
      <c r="AR52" s="66"/>
      <c r="AS52" s="10">
        <v>11</v>
      </c>
    </row>
    <row r="53" spans="1:45" ht="0" hidden="1" customHeight="1">
      <c r="A53" s="766" t="s">
        <v>184</v>
      </c>
      <c r="B53" s="766" t="s">
        <v>185</v>
      </c>
      <c r="C53" s="766" t="s">
        <v>186</v>
      </c>
      <c r="D53" s="766" t="s">
        <v>187</v>
      </c>
      <c r="E53" s="1284"/>
      <c r="F53" s="1284"/>
      <c r="G53" s="1284"/>
      <c r="H53" s="1283"/>
      <c r="I53" s="766"/>
      <c r="J53" s="766"/>
      <c r="K53" s="766"/>
      <c r="L53" s="767"/>
      <c r="M53" s="423"/>
      <c r="N53" s="423"/>
      <c r="O53" s="60"/>
      <c r="P53" s="33"/>
      <c r="Q53" s="213"/>
      <c r="R53" s="204"/>
      <c r="S53" s="779"/>
      <c r="T53" s="780"/>
      <c r="U53" s="781"/>
      <c r="V53" s="781"/>
      <c r="W53" s="781"/>
      <c r="X53" s="781"/>
      <c r="Y53" s="781"/>
      <c r="Z53" s="781"/>
      <c r="AA53" s="781"/>
      <c r="AB53" s="781"/>
      <c r="AC53" s="781"/>
      <c r="AD53" s="781"/>
      <c r="AE53" s="781"/>
      <c r="AF53" s="781"/>
      <c r="AG53" s="781"/>
      <c r="AH53" s="781"/>
      <c r="AI53" s="781"/>
      <c r="AJ53" s="781"/>
      <c r="AK53" s="781"/>
      <c r="AL53" s="781"/>
      <c r="AM53" s="782"/>
      <c r="AO53" s="66"/>
      <c r="AP53" s="66" t="str">
        <f t="shared" si="1"/>
        <v/>
      </c>
      <c r="AQ53" s="66"/>
      <c r="AR53" s="66"/>
      <c r="AS53" s="10">
        <v>0</v>
      </c>
    </row>
    <row r="54" spans="1:45" s="65" customFormat="1" ht="0" hidden="1" customHeight="1">
      <c r="A54" s="142" t="s">
        <v>184</v>
      </c>
      <c r="B54" s="142" t="s">
        <v>185</v>
      </c>
      <c r="C54" s="142" t="s">
        <v>186</v>
      </c>
      <c r="D54" s="142"/>
      <c r="E54" s="1284"/>
      <c r="F54" s="1284"/>
      <c r="G54" s="1283"/>
      <c r="H54" s="142"/>
      <c r="I54" s="142"/>
      <c r="J54" s="142"/>
      <c r="K54" s="142"/>
      <c r="L54" s="343"/>
      <c r="M54" s="290"/>
      <c r="N54" s="290"/>
      <c r="P54" s="101"/>
      <c r="Q54" s="752"/>
      <c r="R54" s="101"/>
      <c r="S54" s="757"/>
      <c r="T54" s="759" t="s">
        <v>414</v>
      </c>
      <c r="U54" s="310"/>
      <c r="V54" s="310"/>
      <c r="W54" s="310"/>
      <c r="X54" s="310"/>
      <c r="Y54" s="310"/>
      <c r="Z54" s="310"/>
      <c r="AA54" s="310"/>
      <c r="AB54" s="310"/>
      <c r="AC54" s="310"/>
      <c r="AD54" s="310"/>
      <c r="AE54" s="310"/>
      <c r="AF54" s="310"/>
      <c r="AG54" s="310"/>
      <c r="AH54" s="310"/>
      <c r="AI54" s="310"/>
      <c r="AJ54" s="310"/>
      <c r="AK54" s="310"/>
      <c r="AL54" s="310"/>
      <c r="AM54" s="310"/>
      <c r="AO54" s="66"/>
      <c r="AP54" s="66" t="str">
        <f t="shared" si="1"/>
        <v>Добавить источник для дифференциации</v>
      </c>
      <c r="AQ54" s="66"/>
      <c r="AR54" s="66"/>
      <c r="AS54" s="65">
        <v>0</v>
      </c>
    </row>
    <row r="55" spans="1:45" s="65" customFormat="1" ht="0" hidden="1" customHeight="1">
      <c r="A55" s="142" t="s">
        <v>184</v>
      </c>
      <c r="B55" s="142" t="s">
        <v>185</v>
      </c>
      <c r="C55" s="142"/>
      <c r="D55" s="142"/>
      <c r="E55" s="1284"/>
      <c r="F55" s="1283"/>
      <c r="G55" s="142"/>
      <c r="H55" s="142"/>
      <c r="I55" s="142"/>
      <c r="J55" s="142"/>
      <c r="K55" s="142"/>
      <c r="L55" s="343"/>
      <c r="M55" s="756"/>
      <c r="N55" s="756"/>
      <c r="P55" s="101"/>
      <c r="Q55" s="752"/>
      <c r="R55" s="101"/>
      <c r="S55" s="757"/>
      <c r="T55" s="759" t="s">
        <v>231</v>
      </c>
      <c r="U55" s="310"/>
      <c r="V55" s="310"/>
      <c r="W55" s="310"/>
      <c r="X55" s="310"/>
      <c r="Y55" s="310"/>
      <c r="Z55" s="310"/>
      <c r="AA55" s="310"/>
      <c r="AB55" s="310"/>
      <c r="AC55" s="310"/>
      <c r="AD55" s="310"/>
      <c r="AE55" s="310"/>
      <c r="AF55" s="310"/>
      <c r="AG55" s="310"/>
      <c r="AH55" s="310"/>
      <c r="AI55" s="310"/>
      <c r="AJ55" s="310"/>
      <c r="AK55" s="310"/>
      <c r="AL55" s="310"/>
      <c r="AM55" s="310"/>
      <c r="AO55" s="66"/>
      <c r="AP55" s="66" t="str">
        <f t="shared" si="1"/>
        <v>Добавить централизованную систему для дифференциации</v>
      </c>
      <c r="AQ55" s="66"/>
      <c r="AR55" s="66"/>
      <c r="AS55" s="65">
        <v>0</v>
      </c>
    </row>
    <row r="56" spans="1:45" s="65" customFormat="1" ht="0" hidden="1" customHeight="1">
      <c r="A56" s="142" t="s">
        <v>184</v>
      </c>
      <c r="B56" s="142"/>
      <c r="C56" s="142"/>
      <c r="D56" s="142"/>
      <c r="E56" s="1283"/>
      <c r="F56" s="142"/>
      <c r="G56" s="142"/>
      <c r="H56" s="142"/>
      <c r="I56" s="142"/>
      <c r="J56" s="142"/>
      <c r="K56" s="142"/>
      <c r="L56" s="343"/>
      <c r="M56" s="756"/>
      <c r="N56" s="756"/>
      <c r="P56" s="101"/>
      <c r="Q56" s="752"/>
      <c r="R56" s="101"/>
      <c r="S56" s="757"/>
      <c r="T56" s="759" t="s">
        <v>232</v>
      </c>
      <c r="U56" s="310"/>
      <c r="V56" s="310"/>
      <c r="W56" s="310"/>
      <c r="X56" s="310"/>
      <c r="Y56" s="310"/>
      <c r="Z56" s="310"/>
      <c r="AA56" s="310"/>
      <c r="AB56" s="310"/>
      <c r="AC56" s="310"/>
      <c r="AD56" s="310"/>
      <c r="AE56" s="310"/>
      <c r="AF56" s="310"/>
      <c r="AG56" s="310"/>
      <c r="AH56" s="310"/>
      <c r="AI56" s="310"/>
      <c r="AJ56" s="310"/>
      <c r="AK56" s="310"/>
      <c r="AL56" s="310"/>
      <c r="AM56" s="310"/>
      <c r="AO56" s="66"/>
      <c r="AP56" s="66" t="str">
        <f t="shared" si="1"/>
        <v>Добавить территорию для дифференциации</v>
      </c>
      <c r="AQ56" s="66"/>
      <c r="AR56" s="66"/>
      <c r="AS56" s="65">
        <v>0</v>
      </c>
    </row>
    <row r="57" spans="1:45" s="65" customFormat="1" ht="4.1500000000000004" customHeight="1">
      <c r="A57" s="142"/>
      <c r="B57" s="142"/>
      <c r="C57" s="142"/>
      <c r="D57" s="142"/>
      <c r="E57" s="142"/>
      <c r="F57" s="142"/>
      <c r="G57" s="142"/>
      <c r="H57" s="142"/>
      <c r="I57" s="142"/>
      <c r="J57" s="142"/>
      <c r="K57" s="142"/>
      <c r="L57" s="343"/>
      <c r="M57" s="756"/>
      <c r="N57" s="756"/>
      <c r="P57" s="101"/>
      <c r="Q57" s="752"/>
      <c r="R57" s="101"/>
      <c r="S57" s="757"/>
      <c r="T57" s="759" t="s">
        <v>233</v>
      </c>
      <c r="U57" s="310"/>
      <c r="V57" s="310"/>
      <c r="W57" s="310"/>
      <c r="X57" s="310"/>
      <c r="Y57" s="310"/>
      <c r="Z57" s="310"/>
      <c r="AA57" s="310"/>
      <c r="AB57" s="310"/>
      <c r="AC57" s="310"/>
      <c r="AD57" s="310"/>
      <c r="AE57" s="310"/>
      <c r="AF57" s="310"/>
      <c r="AG57" s="310"/>
      <c r="AH57" s="310"/>
      <c r="AI57" s="310"/>
      <c r="AJ57" s="310"/>
      <c r="AK57" s="310"/>
      <c r="AL57" s="310"/>
      <c r="AM57" s="310"/>
      <c r="AO57" s="66"/>
      <c r="AP57" s="66" t="str">
        <f t="shared" si="1"/>
        <v>Добавить наименование тарифа</v>
      </c>
      <c r="AQ57" s="66"/>
      <c r="AR57" s="66"/>
      <c r="AS57" s="65">
        <v>4</v>
      </c>
    </row>
    <row r="58" spans="1:45" ht="11.45" customHeight="1">
      <c r="M58" s="60"/>
      <c r="N58" s="60"/>
      <c r="O58" s="60"/>
      <c r="P58" s="10"/>
      <c r="Q58" s="10"/>
      <c r="R58" s="10"/>
      <c r="S58" s="10"/>
      <c r="AN58" s="10"/>
      <c r="AO58" s="10"/>
      <c r="AP58" s="10"/>
      <c r="AQ58" s="10"/>
      <c r="AR58" s="10"/>
      <c r="AS58" s="10">
        <v>11</v>
      </c>
    </row>
    <row r="59" spans="1:45" ht="14.65" customHeight="1">
      <c r="O59" s="60"/>
      <c r="S59" s="195"/>
      <c r="T59" s="1282"/>
      <c r="U59" s="1282"/>
      <c r="V59" s="1282"/>
      <c r="W59" s="1282"/>
      <c r="X59" s="1282"/>
      <c r="Y59" s="1282"/>
      <c r="Z59" s="1282"/>
      <c r="AA59" s="1282"/>
      <c r="AB59" s="1282"/>
      <c r="AC59" s="1282"/>
      <c r="AD59" s="1282"/>
      <c r="AE59" s="1282"/>
      <c r="AF59" s="1282"/>
      <c r="AG59" s="1282"/>
      <c r="AH59" s="1282"/>
      <c r="AI59" s="1282"/>
      <c r="AJ59" s="1282"/>
      <c r="AK59" s="1282"/>
      <c r="AL59" s="1282"/>
      <c r="AM59" s="1282"/>
      <c r="AS59" s="10">
        <v>14</v>
      </c>
    </row>
    <row r="60" spans="1:45" ht="14.65" customHeight="1">
      <c r="O60" s="60"/>
      <c r="T60" s="1282"/>
      <c r="U60" s="1282"/>
      <c r="V60" s="1282"/>
      <c r="W60" s="1282"/>
      <c r="X60" s="1282"/>
      <c r="Y60" s="1282"/>
      <c r="Z60" s="1282"/>
      <c r="AA60" s="1282"/>
      <c r="AB60" s="1282"/>
      <c r="AC60" s="1282"/>
      <c r="AD60" s="1282"/>
      <c r="AE60" s="1282"/>
      <c r="AF60" s="1282"/>
      <c r="AG60" s="1282"/>
      <c r="AH60" s="1282"/>
      <c r="AI60" s="1282"/>
      <c r="AJ60" s="1282"/>
      <c r="AK60" s="1282"/>
      <c r="AL60" s="1282"/>
      <c r="AM60" s="1282"/>
      <c r="AS60" s="10">
        <v>14</v>
      </c>
    </row>
    <row r="61" spans="1:45" ht="14.65" customHeight="1">
      <c r="O61" s="60"/>
      <c r="T61" s="1282"/>
      <c r="U61" s="1282"/>
      <c r="V61" s="1282"/>
      <c r="W61" s="1282"/>
      <c r="X61" s="1282"/>
      <c r="Y61" s="1282"/>
      <c r="Z61" s="1282"/>
      <c r="AA61" s="1282"/>
      <c r="AB61" s="1282"/>
      <c r="AC61" s="1282"/>
      <c r="AD61" s="1282"/>
      <c r="AE61" s="1282"/>
      <c r="AF61" s="1282"/>
      <c r="AG61" s="1282"/>
      <c r="AH61" s="1282"/>
      <c r="AI61" s="1282"/>
      <c r="AJ61" s="1282"/>
      <c r="AK61" s="1282"/>
      <c r="AL61" s="1282"/>
      <c r="AM61" s="1282"/>
      <c r="AS61" s="10">
        <v>14</v>
      </c>
    </row>
    <row r="62" spans="1:45" ht="14.65" customHeight="1">
      <c r="O62" s="60"/>
      <c r="AS62" s="10">
        <v>14</v>
      </c>
    </row>
    <row r="63" spans="1:45" ht="14.65" customHeight="1">
      <c r="O63" s="60"/>
      <c r="S63" s="195"/>
      <c r="T63" s="1186"/>
      <c r="U63" s="1282"/>
      <c r="V63" s="1282"/>
      <c r="W63" s="1282"/>
      <c r="X63" s="1282"/>
      <c r="Y63" s="1282"/>
      <c r="Z63" s="1282"/>
      <c r="AA63" s="1282"/>
      <c r="AB63" s="1282"/>
      <c r="AC63" s="1282"/>
      <c r="AD63" s="1282"/>
      <c r="AE63" s="1282"/>
      <c r="AF63" s="1282"/>
      <c r="AG63" s="1282"/>
      <c r="AH63" s="1282"/>
      <c r="AI63" s="1282"/>
      <c r="AJ63" s="1282"/>
      <c r="AK63" s="1282"/>
      <c r="AL63" s="1282"/>
      <c r="AM63" s="1282"/>
      <c r="AS63" s="10">
        <v>14</v>
      </c>
    </row>
    <row r="64" spans="1:45" ht="14.65" customHeight="1">
      <c r="O64" s="60"/>
      <c r="T64" s="1282"/>
      <c r="U64" s="1282"/>
      <c r="V64" s="1282"/>
      <c r="W64" s="1282"/>
      <c r="X64" s="1282"/>
      <c r="Y64" s="1282"/>
      <c r="Z64" s="1282"/>
      <c r="AA64" s="1282"/>
      <c r="AB64" s="1282"/>
      <c r="AC64" s="1282"/>
      <c r="AD64" s="1282"/>
      <c r="AE64" s="1282"/>
      <c r="AF64" s="1282"/>
      <c r="AG64" s="1282"/>
      <c r="AH64" s="1282"/>
      <c r="AI64" s="1282"/>
      <c r="AJ64" s="1282"/>
      <c r="AK64" s="1282"/>
      <c r="AL64" s="1282"/>
      <c r="AM64" s="1282"/>
      <c r="AS64" s="10">
        <v>14</v>
      </c>
    </row>
    <row r="65" spans="1:45" ht="14.65" customHeight="1">
      <c r="T65" s="1282"/>
      <c r="U65" s="1282"/>
      <c r="V65" s="1282"/>
      <c r="W65" s="1282"/>
      <c r="X65" s="1282"/>
      <c r="Y65" s="1282"/>
      <c r="Z65" s="1282"/>
      <c r="AA65" s="1282"/>
      <c r="AB65" s="1282"/>
      <c r="AC65" s="1282"/>
      <c r="AD65" s="1282"/>
      <c r="AE65" s="1282"/>
      <c r="AF65" s="1282"/>
      <c r="AG65" s="1282"/>
      <c r="AH65" s="1282"/>
      <c r="AI65" s="1282"/>
      <c r="AJ65" s="1282"/>
      <c r="AK65" s="1282"/>
      <c r="AL65" s="1282"/>
      <c r="AM65" s="1282"/>
      <c r="AS65" s="10">
        <v>14</v>
      </c>
    </row>
    <row r="66" spans="1:45" ht="22.5" hidden="1" customHeight="1">
      <c r="A66" s="60" t="s">
        <v>80</v>
      </c>
      <c r="B66" s="60">
        <v>0</v>
      </c>
      <c r="C66" s="60">
        <v>0</v>
      </c>
      <c r="D66" s="60">
        <v>0</v>
      </c>
      <c r="E66" s="60">
        <v>0</v>
      </c>
      <c r="F66" s="60">
        <v>0</v>
      </c>
      <c r="G66" s="60">
        <v>0</v>
      </c>
      <c r="H66" s="60">
        <v>0</v>
      </c>
      <c r="I66" s="60">
        <v>0</v>
      </c>
      <c r="J66" s="60">
        <v>0</v>
      </c>
      <c r="K66" s="60">
        <v>0</v>
      </c>
      <c r="L66" s="298">
        <v>0</v>
      </c>
      <c r="M66" s="503">
        <v>0</v>
      </c>
      <c r="N66" s="503">
        <v>0</v>
      </c>
      <c r="O66" s="503">
        <v>0</v>
      </c>
      <c r="P66" s="32">
        <v>0</v>
      </c>
      <c r="Q66" s="28">
        <v>3</v>
      </c>
      <c r="R66" s="28">
        <v>3</v>
      </c>
      <c r="S66" s="339">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5">
        <v>10</v>
      </c>
      <c r="AO66" s="65">
        <v>10</v>
      </c>
      <c r="AP66" s="65">
        <v>10</v>
      </c>
      <c r="AQ66" s="65">
        <v>10</v>
      </c>
      <c r="AR66" s="65">
        <v>10</v>
      </c>
      <c r="AS66" s="1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2" width="11.42578125" style="10" hidden="1" customWidth="1"/>
    <col min="13" max="13" width="19.140625" style="56" hidden="1" customWidth="1"/>
    <col min="14" max="15" width="12.28515625" style="32" hidden="1" customWidth="1"/>
    <col min="16" max="16" width="23.42578125" style="32" hidden="1" customWidth="1"/>
    <col min="17" max="17" width="3.7109375" style="32" hidden="1" customWidth="1"/>
    <col min="18" max="20" width="3" style="28" customWidth="1"/>
    <col min="21" max="21" width="12" style="339" customWidth="1"/>
    <col min="22" max="22" width="31" style="10" customWidth="1"/>
    <col min="23" max="23" width="0.140625" style="10" customWidth="1"/>
    <col min="24" max="28" width="21.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21.7109375" style="10" customWidth="1"/>
    <col min="34" max="37" width="21" style="10" customWidth="1"/>
    <col min="38" max="38" width="11" style="10" customWidth="1"/>
    <col min="39" max="39" width="3.7109375" style="10" customWidth="1"/>
    <col min="40" max="40" width="11" style="10" customWidth="1"/>
    <col min="41" max="41" width="8.5703125" style="10" hidden="1" customWidth="1"/>
    <col min="42" max="42" width="4" style="10" customWidth="1"/>
    <col min="43" max="43" width="115" style="10" customWidth="1"/>
    <col min="44" max="48" width="10" style="65" customWidth="1"/>
    <col min="49" max="49" width="10.5703125" style="10" hidden="1"/>
  </cols>
  <sheetData>
    <row r="1" spans="1:49" ht="22.5" hidden="1" customHeight="1">
      <c r="AW1" s="10" t="s">
        <v>14</v>
      </c>
    </row>
    <row r="2" spans="1:49" ht="21" hidden="1" customHeight="1">
      <c r="A2" s="728"/>
      <c r="B2" s="728"/>
      <c r="C2" s="728"/>
      <c r="D2" s="728"/>
      <c r="E2" s="1309">
        <v>1</v>
      </c>
      <c r="F2" s="728"/>
      <c r="G2" s="728"/>
      <c r="H2" s="728"/>
      <c r="I2" s="728"/>
      <c r="J2" s="728"/>
      <c r="K2" s="728"/>
      <c r="L2" s="728"/>
      <c r="M2" s="751"/>
      <c r="N2" s="339"/>
      <c r="O2" s="339"/>
      <c r="P2" s="339"/>
      <c r="R2" s="33"/>
      <c r="S2" s="33"/>
      <c r="T2" s="204"/>
      <c r="U2" s="706" t="e">
        <f>INDEX(PT_DIFFERENTIATION_NUM_NTAR,MATCH(A2,PT_DIFFERENTIATION_NTAR_ID,0))</f>
        <v>#N/A</v>
      </c>
      <c r="V2" s="64" t="s">
        <v>121</v>
      </c>
      <c r="W2" s="168"/>
      <c r="X2" s="1277"/>
      <c r="Y2" s="1278"/>
      <c r="Z2" s="1278"/>
      <c r="AA2" s="1278"/>
      <c r="AB2" s="1278"/>
      <c r="AC2" s="1278"/>
      <c r="AD2" s="1278"/>
      <c r="AE2" s="1278"/>
      <c r="AF2" s="1279"/>
      <c r="AG2" s="1277" t="e">
        <f>INDEX(PT_DIFFERENTIATION_NTAR,MATCH(A2,PT_DIFFERENTIATION_NTAR_ID,0))</f>
        <v>#N/A</v>
      </c>
      <c r="AH2" s="1278"/>
      <c r="AI2" s="1278"/>
      <c r="AJ2" s="1278"/>
      <c r="AK2" s="1278"/>
      <c r="AL2" s="1278"/>
      <c r="AM2" s="1278"/>
      <c r="AN2" s="1278"/>
      <c r="AO2" s="1278"/>
      <c r="AP2" s="1279"/>
      <c r="AQ2" s="726" t="s">
        <v>396</v>
      </c>
      <c r="AS2" s="66"/>
      <c r="AT2" s="66" t="str">
        <f t="shared" ref="AT2:AT8" si="0">IF(V2="","",V2)</f>
        <v>Наименование тарифа</v>
      </c>
      <c r="AU2" s="66"/>
      <c r="AV2" s="66"/>
      <c r="AW2" s="10">
        <v>0</v>
      </c>
    </row>
    <row r="3" spans="1:49" ht="21" hidden="1" customHeight="1">
      <c r="A3" s="728"/>
      <c r="B3" s="728"/>
      <c r="C3" s="728"/>
      <c r="D3" s="728"/>
      <c r="E3" s="1310"/>
      <c r="F3" s="1309">
        <v>1</v>
      </c>
      <c r="G3" s="728"/>
      <c r="H3" s="728"/>
      <c r="I3" s="728"/>
      <c r="J3" s="728"/>
      <c r="K3" s="728"/>
      <c r="L3" s="728"/>
      <c r="M3" s="751"/>
      <c r="N3" s="339"/>
      <c r="O3" s="339"/>
      <c r="P3" s="339"/>
      <c r="Q3" s="56"/>
      <c r="R3" s="201"/>
      <c r="S3" s="10"/>
      <c r="T3" s="202"/>
      <c r="U3" s="706" t="e">
        <f>INDEX(PT_DIFFERENTIATION_NUM_TER,MATCH(B3,PT_DIFFERENTIATION_TER_ID,0))</f>
        <v>#N/A</v>
      </c>
      <c r="V3" s="174" t="s">
        <v>397</v>
      </c>
      <c r="W3" s="168"/>
      <c r="X3" s="1277"/>
      <c r="Y3" s="1278"/>
      <c r="Z3" s="1278"/>
      <c r="AA3" s="1278"/>
      <c r="AB3" s="1278"/>
      <c r="AC3" s="1278"/>
      <c r="AD3" s="1278"/>
      <c r="AE3" s="1278"/>
      <c r="AF3" s="1279"/>
      <c r="AG3" s="1277" t="e">
        <f>INDEX(PT_DIFFERENTIATION_TER,MATCH(B3,PT_DIFFERENTIATION_TER_ID,0))</f>
        <v>#N/A</v>
      </c>
      <c r="AH3" s="1278"/>
      <c r="AI3" s="1278"/>
      <c r="AJ3" s="1278"/>
      <c r="AK3" s="1278"/>
      <c r="AL3" s="1278"/>
      <c r="AM3" s="1278"/>
      <c r="AN3" s="1278"/>
      <c r="AO3" s="1278"/>
      <c r="AP3" s="1279"/>
      <c r="AQ3" s="726" t="s">
        <v>398</v>
      </c>
      <c r="AS3" s="66"/>
      <c r="AT3" s="66" t="str">
        <f t="shared" si="0"/>
        <v>Территория действия тарифа</v>
      </c>
      <c r="AU3" s="66"/>
      <c r="AV3" s="66"/>
      <c r="AW3" s="10">
        <v>0</v>
      </c>
    </row>
    <row r="4" spans="1:49" ht="22.5" hidden="1" customHeight="1">
      <c r="A4" s="728"/>
      <c r="B4" s="728"/>
      <c r="C4" s="728"/>
      <c r="D4" s="728"/>
      <c r="E4" s="1310"/>
      <c r="F4" s="1310"/>
      <c r="G4" s="1309">
        <v>1</v>
      </c>
      <c r="H4" s="728"/>
      <c r="I4" s="728"/>
      <c r="J4" s="728"/>
      <c r="K4" s="728"/>
      <c r="L4" s="728"/>
      <c r="M4" s="751"/>
      <c r="N4" s="339"/>
      <c r="O4" s="339"/>
      <c r="P4" s="339"/>
      <c r="Q4" s="203"/>
      <c r="R4" s="201"/>
      <c r="S4" s="10"/>
      <c r="T4" s="202"/>
      <c r="U4" s="706" t="e">
        <f>INDEX(PT_DIFFERENTIATION_NUM_CS,MATCH(C4,PT_DIFFERENTIATION_CS_ID,0))</f>
        <v>#N/A</v>
      </c>
      <c r="V4" s="175" t="s">
        <v>399</v>
      </c>
      <c r="W4" s="168"/>
      <c r="X4" s="1277"/>
      <c r="Y4" s="1278"/>
      <c r="Z4" s="1278"/>
      <c r="AA4" s="1278"/>
      <c r="AB4" s="1278"/>
      <c r="AC4" s="1278"/>
      <c r="AD4" s="1278"/>
      <c r="AE4" s="1278"/>
      <c r="AF4" s="1279"/>
      <c r="AG4" s="1277" t="e">
        <f>INDEX(PT_DIFFERENTIATION_CS,MATCH(C4,PT_DIFFERENTIATION_CS_ID,0))</f>
        <v>#N/A</v>
      </c>
      <c r="AH4" s="1278"/>
      <c r="AI4" s="1278"/>
      <c r="AJ4" s="1278"/>
      <c r="AK4" s="1278"/>
      <c r="AL4" s="1278"/>
      <c r="AM4" s="1278"/>
      <c r="AN4" s="1278"/>
      <c r="AO4" s="1278"/>
      <c r="AP4" s="1279"/>
      <c r="AQ4" s="726" t="s">
        <v>400</v>
      </c>
      <c r="AS4" s="66"/>
      <c r="AT4" s="66" t="str">
        <f t="shared" si="0"/>
        <v xml:space="preserve">Наименование системы теплоснабжения </v>
      </c>
      <c r="AU4" s="66"/>
      <c r="AV4" s="66"/>
      <c r="AW4" s="10">
        <v>0</v>
      </c>
    </row>
    <row r="5" spans="1:49" ht="21" hidden="1" customHeight="1">
      <c r="A5" s="728"/>
      <c r="B5" s="728"/>
      <c r="C5" s="728"/>
      <c r="D5" s="728"/>
      <c r="E5" s="1310"/>
      <c r="F5" s="1310"/>
      <c r="G5" s="1310"/>
      <c r="H5" s="1309">
        <v>1</v>
      </c>
      <c r="I5" s="728"/>
      <c r="J5" s="728"/>
      <c r="K5" s="728"/>
      <c r="L5" s="728"/>
      <c r="M5" s="751"/>
      <c r="N5" s="339"/>
      <c r="O5" s="339"/>
      <c r="P5" s="339"/>
      <c r="Q5" s="203"/>
      <c r="R5" s="201"/>
      <c r="S5" s="10"/>
      <c r="T5" s="202"/>
      <c r="U5" s="706" t="e">
        <f>INDEX(PT_DIFFERENTIATION_NUM_IST_TE,MATCH(D5,PT_DIFFERENTIATION_IST_TE_ID,0))</f>
        <v>#N/A</v>
      </c>
      <c r="V5" s="176" t="s">
        <v>401</v>
      </c>
      <c r="W5" s="168"/>
      <c r="X5" s="1277"/>
      <c r="Y5" s="1278"/>
      <c r="Z5" s="1278"/>
      <c r="AA5" s="1278"/>
      <c r="AB5" s="1278"/>
      <c r="AC5" s="1278"/>
      <c r="AD5" s="1278"/>
      <c r="AE5" s="1278"/>
      <c r="AF5" s="1279"/>
      <c r="AG5" s="1277" t="e">
        <f>INDEX(PT_DIFFERENTIATION_IST_TE,MATCH(D5,PT_DIFFERENTIATION_IST_TE_ID,0))</f>
        <v>#N/A</v>
      </c>
      <c r="AH5" s="1278"/>
      <c r="AI5" s="1278"/>
      <c r="AJ5" s="1278"/>
      <c r="AK5" s="1278"/>
      <c r="AL5" s="1278"/>
      <c r="AM5" s="1278"/>
      <c r="AN5" s="1278"/>
      <c r="AO5" s="1278"/>
      <c r="AP5" s="1279"/>
      <c r="AQ5" s="726" t="s">
        <v>402</v>
      </c>
      <c r="AS5" s="66"/>
      <c r="AT5" s="66" t="str">
        <f t="shared" si="0"/>
        <v xml:space="preserve">Источник тепловой энергии  </v>
      </c>
      <c r="AU5" s="66"/>
      <c r="AV5" s="66"/>
      <c r="AW5" s="10">
        <v>0</v>
      </c>
    </row>
    <row r="6" spans="1:49" ht="14.25" hidden="1" customHeight="1">
      <c r="A6" s="728"/>
      <c r="B6" s="728"/>
      <c r="C6" s="728"/>
      <c r="D6" s="728"/>
      <c r="E6" s="1310"/>
      <c r="F6" s="1310"/>
      <c r="G6" s="1310"/>
      <c r="H6" s="1310"/>
      <c r="I6" s="1146" t="e">
        <f>U5&amp;".1"</f>
        <v>#N/A</v>
      </c>
      <c r="J6" s="728"/>
      <c r="K6" s="728"/>
      <c r="L6" s="728"/>
      <c r="M6" s="751" t="s">
        <v>403</v>
      </c>
      <c r="N6" s="10"/>
      <c r="Q6" s="1287">
        <v>1</v>
      </c>
      <c r="R6" s="119"/>
      <c r="S6" s="119"/>
      <c r="T6" s="205"/>
      <c r="U6" s="359"/>
      <c r="V6" s="776"/>
      <c r="W6" s="777"/>
      <c r="X6" s="1314"/>
      <c r="Y6" s="1315"/>
      <c r="Z6" s="1315"/>
      <c r="AA6" s="1315"/>
      <c r="AB6" s="1315"/>
      <c r="AC6" s="1315"/>
      <c r="AD6" s="1315"/>
      <c r="AE6" s="1315"/>
      <c r="AF6" s="1316"/>
      <c r="AG6" s="1314"/>
      <c r="AH6" s="1315"/>
      <c r="AI6" s="1315"/>
      <c r="AJ6" s="1315"/>
      <c r="AK6" s="1315"/>
      <c r="AL6" s="1315"/>
      <c r="AM6" s="1315"/>
      <c r="AN6" s="1315"/>
      <c r="AO6" s="1315"/>
      <c r="AP6" s="1316"/>
      <c r="AQ6" s="778"/>
      <c r="AS6" s="66"/>
      <c r="AT6" s="66" t="str">
        <f t="shared" si="0"/>
        <v/>
      </c>
      <c r="AU6" s="66"/>
      <c r="AV6" s="66"/>
      <c r="AW6" s="10">
        <v>0</v>
      </c>
    </row>
    <row r="7" spans="1:49" ht="21" hidden="1" customHeight="1">
      <c r="A7" s="728"/>
      <c r="B7" s="728"/>
      <c r="C7" s="728"/>
      <c r="D7" s="728"/>
      <c r="E7" s="1310"/>
      <c r="F7" s="1310"/>
      <c r="G7" s="1310"/>
      <c r="H7" s="1310"/>
      <c r="I7" s="1128"/>
      <c r="J7" s="1146" t="e">
        <f>I6&amp;".1"</f>
        <v>#N/A</v>
      </c>
      <c r="K7" s="728"/>
      <c r="L7" s="728"/>
      <c r="M7" s="751" t="s">
        <v>406</v>
      </c>
      <c r="N7" s="10"/>
      <c r="O7" s="10"/>
      <c r="Q7" s="1287"/>
      <c r="R7" s="1287">
        <v>1</v>
      </c>
      <c r="S7" s="65"/>
      <c r="T7" s="206"/>
      <c r="U7" s="706" t="e">
        <f>$J7</f>
        <v>#N/A</v>
      </c>
      <c r="V7" s="162" t="s">
        <v>407</v>
      </c>
      <c r="W7" s="168"/>
      <c r="X7" s="1271"/>
      <c r="Y7" s="1272"/>
      <c r="Z7" s="1272"/>
      <c r="AA7" s="1272"/>
      <c r="AB7" s="1272"/>
      <c r="AC7" s="1267"/>
      <c r="AD7" s="1267"/>
      <c r="AE7" s="1267"/>
      <c r="AF7" s="1327"/>
      <c r="AG7" s="1271"/>
      <c r="AH7" s="1272"/>
      <c r="AI7" s="1272"/>
      <c r="AJ7" s="1272"/>
      <c r="AK7" s="1272"/>
      <c r="AL7" s="1272"/>
      <c r="AM7" s="1272"/>
      <c r="AN7" s="1272"/>
      <c r="AO7" s="1272"/>
      <c r="AP7" s="1273"/>
      <c r="AQ7" s="726" t="s">
        <v>408</v>
      </c>
      <c r="AS7" s="66"/>
      <c r="AT7" s="66" t="str">
        <f t="shared" si="0"/>
        <v>Группа потребителей</v>
      </c>
      <c r="AU7" s="66"/>
      <c r="AV7" s="66"/>
      <c r="AW7" s="10">
        <v>0</v>
      </c>
    </row>
    <row r="8" spans="1:49" ht="21" hidden="1" customHeight="1">
      <c r="A8" s="728"/>
      <c r="B8" s="728"/>
      <c r="C8" s="728"/>
      <c r="D8" s="728"/>
      <c r="E8" s="1310"/>
      <c r="F8" s="1310"/>
      <c r="G8" s="1310"/>
      <c r="H8" s="1310"/>
      <c r="I8" s="1128"/>
      <c r="J8" s="1128"/>
      <c r="K8" s="1146" t="e">
        <f>J7&amp;".1"</f>
        <v>#N/A</v>
      </c>
      <c r="L8" s="56"/>
      <c r="M8" s="751" t="s">
        <v>409</v>
      </c>
      <c r="N8" s="10"/>
      <c r="O8" s="10"/>
      <c r="P8" s="10"/>
      <c r="Q8" s="1287"/>
      <c r="R8" s="1287"/>
      <c r="S8" s="1287">
        <v>1</v>
      </c>
      <c r="T8" s="206"/>
      <c r="U8" s="706" t="e">
        <f>$K8</f>
        <v>#N/A</v>
      </c>
      <c r="V8" s="762"/>
      <c r="W8" s="168"/>
      <c r="X8" s="303"/>
      <c r="Y8" s="303"/>
      <c r="Z8" s="303"/>
      <c r="AA8" s="303"/>
      <c r="AB8" s="795"/>
      <c r="AC8" s="1288"/>
      <c r="AD8" s="1156" t="s">
        <v>64</v>
      </c>
      <c r="AE8" s="1288"/>
      <c r="AF8" s="1156" t="s">
        <v>64</v>
      </c>
      <c r="AG8" s="797"/>
      <c r="AH8" s="303"/>
      <c r="AI8" s="303"/>
      <c r="AJ8" s="303"/>
      <c r="AK8" s="725"/>
      <c r="AL8" s="1288"/>
      <c r="AM8" s="1156" t="s">
        <v>64</v>
      </c>
      <c r="AN8" s="1288"/>
      <c r="AO8" s="1156" t="s">
        <v>64</v>
      </c>
      <c r="AP8" s="188"/>
      <c r="AQ8" s="750" t="s">
        <v>449</v>
      </c>
      <c r="AR8" s="65" t="e">
        <f ca="1">STRCHECKDATE(X10:AP10)</f>
        <v>#NAME?</v>
      </c>
      <c r="AS8" s="66"/>
      <c r="AT8" s="66" t="str">
        <f t="shared" si="0"/>
        <v/>
      </c>
      <c r="AU8" s="66"/>
      <c r="AV8" s="66"/>
      <c r="AW8" s="10">
        <v>0</v>
      </c>
    </row>
    <row r="9" spans="1:49" ht="21" hidden="1" customHeight="1">
      <c r="A9" s="728"/>
      <c r="B9" s="728"/>
      <c r="C9" s="728"/>
      <c r="D9" s="728"/>
      <c r="E9" s="1310"/>
      <c r="F9" s="1310"/>
      <c r="G9" s="1310"/>
      <c r="H9" s="1310"/>
      <c r="I9" s="1128"/>
      <c r="J9" s="1128"/>
      <c r="K9" s="1128"/>
      <c r="L9" s="1146" t="e">
        <f>K8&amp;".1"</f>
        <v>#N/A</v>
      </c>
      <c r="M9" s="751"/>
      <c r="N9" s="10"/>
      <c r="O9" s="10"/>
      <c r="P9" s="10"/>
      <c r="Q9" s="1287"/>
      <c r="R9" s="1287"/>
      <c r="S9" s="1287"/>
      <c r="T9" s="206"/>
      <c r="U9" s="706" t="e">
        <f>$L9</f>
        <v>#N/A</v>
      </c>
      <c r="V9" s="784"/>
      <c r="W9" s="168"/>
      <c r="X9" s="188"/>
      <c r="Y9" s="303"/>
      <c r="Z9" s="303"/>
      <c r="AA9" s="303"/>
      <c r="AB9" s="795"/>
      <c r="AC9" s="1289"/>
      <c r="AD9" s="1156"/>
      <c r="AE9" s="1289"/>
      <c r="AF9" s="1156"/>
      <c r="AG9" s="797"/>
      <c r="AH9" s="303"/>
      <c r="AI9" s="303"/>
      <c r="AJ9" s="303"/>
      <c r="AK9" s="725"/>
      <c r="AL9" s="1289"/>
      <c r="AM9" s="1156"/>
      <c r="AN9" s="1289"/>
      <c r="AO9" s="1156"/>
      <c r="AP9" s="188"/>
      <c r="AQ9" s="1306" t="s">
        <v>450</v>
      </c>
      <c r="AS9" s="66"/>
      <c r="AT9" s="66"/>
      <c r="AU9" s="66"/>
      <c r="AV9" s="66"/>
      <c r="AW9" s="10">
        <v>0</v>
      </c>
    </row>
    <row r="10" spans="1:49" ht="14.25" hidden="1" customHeight="1">
      <c r="A10" s="728"/>
      <c r="B10" s="728"/>
      <c r="C10" s="728"/>
      <c r="D10" s="728"/>
      <c r="E10" s="1310"/>
      <c r="F10" s="1310"/>
      <c r="G10" s="1310"/>
      <c r="H10" s="1310"/>
      <c r="I10" s="1128"/>
      <c r="J10" s="1128"/>
      <c r="K10" s="1128"/>
      <c r="L10" s="1146"/>
      <c r="M10" s="751"/>
      <c r="N10" s="10"/>
      <c r="O10" s="10"/>
      <c r="P10" s="10"/>
      <c r="Q10" s="1287"/>
      <c r="R10" s="1287"/>
      <c r="S10" s="1287"/>
      <c r="T10" s="206"/>
      <c r="U10" s="62"/>
      <c r="V10" s="168"/>
      <c r="W10" s="168"/>
      <c r="X10" s="188"/>
      <c r="Y10" s="188"/>
      <c r="Z10" s="188"/>
      <c r="AA10" s="188"/>
      <c r="AB10" s="796" t="str">
        <f>AC8&amp;"-"&amp;AE8</f>
        <v>-</v>
      </c>
      <c r="AC10" s="1289"/>
      <c r="AD10" s="1156"/>
      <c r="AE10" s="1289"/>
      <c r="AF10" s="1156"/>
      <c r="AG10" s="775"/>
      <c r="AH10" s="188"/>
      <c r="AI10" s="188"/>
      <c r="AJ10" s="188"/>
      <c r="AK10" s="189" t="str">
        <f>AL8&amp;"-"&amp;AN8</f>
        <v>-</v>
      </c>
      <c r="AL10" s="1289"/>
      <c r="AM10" s="1156"/>
      <c r="AN10" s="1289"/>
      <c r="AO10" s="1156"/>
      <c r="AP10" s="188"/>
      <c r="AQ10" s="1307"/>
      <c r="AS10" s="66"/>
      <c r="AT10" s="66" t="str">
        <f>IF(V10="","",V10)</f>
        <v/>
      </c>
      <c r="AU10" s="66"/>
      <c r="AV10" s="66"/>
      <c r="AW10" s="10">
        <v>0</v>
      </c>
    </row>
    <row r="11" spans="1:49" ht="11.25" hidden="1" customHeight="1">
      <c r="A11" s="728"/>
      <c r="B11" s="728"/>
      <c r="C11" s="728"/>
      <c r="D11" s="728"/>
      <c r="E11" s="1310"/>
      <c r="F11" s="1310"/>
      <c r="G11" s="1310"/>
      <c r="H11" s="1310"/>
      <c r="I11" s="1128"/>
      <c r="J11" s="1128"/>
      <c r="K11" s="1146"/>
      <c r="L11" s="728"/>
      <c r="M11" s="751"/>
      <c r="N11" s="10"/>
      <c r="O11" s="10"/>
      <c r="P11" s="10"/>
      <c r="Q11" s="1287"/>
      <c r="R11" s="1287"/>
      <c r="S11" s="1287"/>
      <c r="T11" s="206"/>
      <c r="U11" s="739"/>
      <c r="V11" s="164" t="s">
        <v>451</v>
      </c>
      <c r="W11" s="785"/>
      <c r="X11" s="786"/>
      <c r="Y11" s="786"/>
      <c r="Z11" s="786"/>
      <c r="AA11" s="786"/>
      <c r="AB11" s="787"/>
      <c r="AC11" s="1289"/>
      <c r="AD11" s="1156"/>
      <c r="AE11" s="1289"/>
      <c r="AF11" s="1156"/>
      <c r="AG11" s="786"/>
      <c r="AH11" s="786"/>
      <c r="AI11" s="786"/>
      <c r="AJ11" s="786"/>
      <c r="AK11" s="787"/>
      <c r="AL11" s="1289"/>
      <c r="AM11" s="1156"/>
      <c r="AN11" s="1289"/>
      <c r="AO11" s="1156"/>
      <c r="AP11" s="788"/>
      <c r="AQ11" s="1307"/>
      <c r="AS11" s="66"/>
      <c r="AT11" s="66"/>
      <c r="AU11" s="66"/>
      <c r="AV11" s="66"/>
      <c r="AW11" s="10">
        <v>0</v>
      </c>
    </row>
    <row r="12" spans="1:49" ht="15" hidden="1" customHeight="1">
      <c r="A12" s="728"/>
      <c r="B12" s="728"/>
      <c r="C12" s="728"/>
      <c r="D12" s="728"/>
      <c r="E12" s="1310"/>
      <c r="F12" s="1310"/>
      <c r="G12" s="1310"/>
      <c r="H12" s="1310"/>
      <c r="I12" s="1128"/>
      <c r="J12" s="1146"/>
      <c r="K12" s="728"/>
      <c r="L12" s="728"/>
      <c r="M12" s="751"/>
      <c r="N12" s="10"/>
      <c r="O12" s="10"/>
      <c r="Q12" s="1287"/>
      <c r="R12" s="1287"/>
      <c r="S12" s="119"/>
      <c r="T12" s="205"/>
      <c r="U12" s="739"/>
      <c r="V12" s="163" t="s">
        <v>411</v>
      </c>
      <c r="W12" s="210"/>
      <c r="X12" s="210"/>
      <c r="Y12" s="210"/>
      <c r="Z12" s="210"/>
      <c r="AA12" s="210"/>
      <c r="AB12" s="210"/>
      <c r="AC12" s="798"/>
      <c r="AD12" s="798"/>
      <c r="AE12" s="798"/>
      <c r="AF12" s="798"/>
      <c r="AG12" s="210"/>
      <c r="AH12" s="210"/>
      <c r="AI12" s="210"/>
      <c r="AJ12" s="210"/>
      <c r="AK12" s="210"/>
      <c r="AL12" s="210"/>
      <c r="AM12" s="210"/>
      <c r="AN12" s="210"/>
      <c r="AO12" s="210"/>
      <c r="AP12" s="187"/>
      <c r="AQ12" s="1308"/>
      <c r="AS12" s="66"/>
      <c r="AT12" s="66" t="str">
        <f t="shared" ref="AT12:AT17" si="1">IF(V12="","",V12)</f>
        <v>Добавить вид теплоносителя (параметры теплоносителя)</v>
      </c>
      <c r="AU12" s="66"/>
      <c r="AV12" s="66"/>
      <c r="AW12" s="10">
        <v>0</v>
      </c>
    </row>
    <row r="13" spans="1:49" ht="11.25" hidden="1" customHeight="1">
      <c r="A13" s="728"/>
      <c r="B13" s="728"/>
      <c r="C13" s="728"/>
      <c r="D13" s="728"/>
      <c r="E13" s="1310"/>
      <c r="F13" s="1310"/>
      <c r="G13" s="1310"/>
      <c r="H13" s="1310"/>
      <c r="I13" s="1146"/>
      <c r="J13" s="728"/>
      <c r="K13" s="728"/>
      <c r="L13" s="728"/>
      <c r="M13" s="751"/>
      <c r="N13" s="10"/>
      <c r="Q13" s="1287"/>
      <c r="R13" s="119"/>
      <c r="S13" s="119"/>
      <c r="T13" s="205"/>
      <c r="U13" s="739"/>
      <c r="V13" s="208" t="s">
        <v>412</v>
      </c>
      <c r="W13" s="210"/>
      <c r="X13" s="210"/>
      <c r="Y13" s="210"/>
      <c r="Z13" s="210"/>
      <c r="AA13" s="210"/>
      <c r="AB13" s="210"/>
      <c r="AC13" s="210"/>
      <c r="AD13" s="210"/>
      <c r="AE13" s="210"/>
      <c r="AF13" s="209"/>
      <c r="AG13" s="210"/>
      <c r="AH13" s="210"/>
      <c r="AI13" s="210"/>
      <c r="AJ13" s="210"/>
      <c r="AK13" s="210"/>
      <c r="AL13" s="210"/>
      <c r="AM13" s="210"/>
      <c r="AN13" s="210"/>
      <c r="AO13" s="209"/>
      <c r="AP13" s="210"/>
      <c r="AQ13" s="171"/>
      <c r="AS13" s="66"/>
      <c r="AT13" s="66" t="str">
        <f t="shared" si="1"/>
        <v>Добавить группу потребителей</v>
      </c>
      <c r="AU13" s="66"/>
      <c r="AV13" s="66"/>
      <c r="AW13" s="10">
        <v>0</v>
      </c>
    </row>
    <row r="14" spans="1:49" ht="14.25" hidden="1" customHeight="1">
      <c r="A14" s="728"/>
      <c r="B14" s="728"/>
      <c r="C14" s="728"/>
      <c r="D14" s="728"/>
      <c r="E14" s="1310"/>
      <c r="F14" s="1310"/>
      <c r="G14" s="1310"/>
      <c r="H14" s="1309"/>
      <c r="I14" s="728"/>
      <c r="J14" s="728"/>
      <c r="K14" s="728"/>
      <c r="L14" s="728"/>
      <c r="M14" s="751"/>
      <c r="N14" s="339"/>
      <c r="O14" s="339"/>
      <c r="P14" s="10"/>
      <c r="Q14" s="33"/>
      <c r="R14" s="213"/>
      <c r="S14" s="204"/>
      <c r="T14" s="33"/>
      <c r="U14" s="779"/>
      <c r="V14" s="780"/>
      <c r="W14" s="781"/>
      <c r="X14" s="781"/>
      <c r="Y14" s="781"/>
      <c r="Z14" s="781"/>
      <c r="AA14" s="781"/>
      <c r="AB14" s="781"/>
      <c r="AC14" s="781"/>
      <c r="AD14" s="781"/>
      <c r="AE14" s="781"/>
      <c r="AF14" s="781"/>
      <c r="AG14" s="781"/>
      <c r="AH14" s="781"/>
      <c r="AI14" s="781"/>
      <c r="AJ14" s="781"/>
      <c r="AK14" s="781"/>
      <c r="AL14" s="781"/>
      <c r="AM14" s="781"/>
      <c r="AN14" s="781"/>
      <c r="AO14" s="781"/>
      <c r="AP14" s="781"/>
      <c r="AQ14" s="782"/>
      <c r="AS14" s="66"/>
      <c r="AT14" s="66" t="str">
        <f t="shared" si="1"/>
        <v/>
      </c>
      <c r="AU14" s="66"/>
      <c r="AV14" s="66"/>
      <c r="AW14" s="10">
        <v>0</v>
      </c>
    </row>
    <row r="15" spans="1:49" s="65" customFormat="1" ht="14.25" hidden="1" customHeight="1">
      <c r="A15" s="771"/>
      <c r="B15" s="771"/>
      <c r="C15" s="771"/>
      <c r="D15" s="771"/>
      <c r="E15" s="1310"/>
      <c r="F15" s="1310"/>
      <c r="G15" s="1309"/>
      <c r="H15" s="771"/>
      <c r="I15" s="771"/>
      <c r="J15" s="771"/>
      <c r="K15" s="771"/>
      <c r="L15" s="771"/>
      <c r="M15" s="772"/>
      <c r="N15" s="773"/>
      <c r="O15" s="773"/>
      <c r="P15" s="200"/>
      <c r="Q15" s="101"/>
      <c r="R15" s="752"/>
      <c r="S15" s="101"/>
      <c r="T15" s="101"/>
      <c r="U15" s="753"/>
      <c r="V15" s="754" t="s">
        <v>414</v>
      </c>
      <c r="W15" s="755"/>
      <c r="X15" s="755"/>
      <c r="Y15" s="755"/>
      <c r="Z15" s="755"/>
      <c r="AA15" s="755"/>
      <c r="AB15" s="755"/>
      <c r="AC15" s="755"/>
      <c r="AD15" s="755"/>
      <c r="AE15" s="755"/>
      <c r="AF15" s="755"/>
      <c r="AG15" s="755"/>
      <c r="AH15" s="755"/>
      <c r="AI15" s="755"/>
      <c r="AJ15" s="755"/>
      <c r="AK15" s="755"/>
      <c r="AL15" s="755"/>
      <c r="AM15" s="755"/>
      <c r="AN15" s="755"/>
      <c r="AO15" s="755"/>
      <c r="AP15" s="755"/>
      <c r="AQ15" s="755"/>
      <c r="AS15" s="66"/>
      <c r="AT15" s="66" t="str">
        <f t="shared" si="1"/>
        <v>Добавить источник для дифференциации</v>
      </c>
      <c r="AU15" s="66"/>
      <c r="AV15" s="66"/>
      <c r="AW15" s="65">
        <v>0</v>
      </c>
    </row>
    <row r="16" spans="1:49" s="65" customFormat="1" ht="14.25" hidden="1" customHeight="1">
      <c r="A16" s="771"/>
      <c r="B16" s="771"/>
      <c r="C16" s="771"/>
      <c r="D16" s="771"/>
      <c r="E16" s="1310"/>
      <c r="F16" s="1309"/>
      <c r="G16" s="771"/>
      <c r="H16" s="771"/>
      <c r="I16" s="771"/>
      <c r="J16" s="771"/>
      <c r="K16" s="771"/>
      <c r="L16" s="771"/>
      <c r="M16" s="772"/>
      <c r="N16" s="774"/>
      <c r="O16" s="774"/>
      <c r="P16" s="200"/>
      <c r="Q16" s="101"/>
      <c r="R16" s="752"/>
      <c r="S16" s="101"/>
      <c r="T16" s="101"/>
      <c r="U16" s="757"/>
      <c r="V16" s="758" t="s">
        <v>231</v>
      </c>
      <c r="W16" s="310"/>
      <c r="X16" s="310"/>
      <c r="Y16" s="310"/>
      <c r="Z16" s="310"/>
      <c r="AA16" s="310"/>
      <c r="AB16" s="310"/>
      <c r="AC16" s="310"/>
      <c r="AD16" s="310"/>
      <c r="AE16" s="310"/>
      <c r="AF16" s="310"/>
      <c r="AG16" s="310"/>
      <c r="AH16" s="310"/>
      <c r="AI16" s="310"/>
      <c r="AJ16" s="310"/>
      <c r="AK16" s="310"/>
      <c r="AL16" s="310"/>
      <c r="AM16" s="310"/>
      <c r="AN16" s="310"/>
      <c r="AO16" s="310"/>
      <c r="AP16" s="310"/>
      <c r="AQ16" s="310"/>
      <c r="AS16" s="66"/>
      <c r="AT16" s="66" t="str">
        <f t="shared" si="1"/>
        <v>Добавить централизованную систему для дифференциации</v>
      </c>
      <c r="AU16" s="66"/>
      <c r="AV16" s="66"/>
      <c r="AW16" s="65">
        <v>0</v>
      </c>
    </row>
    <row r="17" spans="1:49" s="65" customFormat="1" ht="14.25" hidden="1" customHeight="1">
      <c r="A17" s="771"/>
      <c r="B17" s="771"/>
      <c r="C17" s="771"/>
      <c r="D17" s="771"/>
      <c r="E17" s="1309"/>
      <c r="F17" s="771"/>
      <c r="G17" s="771"/>
      <c r="H17" s="771"/>
      <c r="I17" s="771"/>
      <c r="J17" s="771"/>
      <c r="K17" s="771"/>
      <c r="L17" s="771"/>
      <c r="M17" s="772"/>
      <c r="N17" s="774"/>
      <c r="O17" s="774"/>
      <c r="P17" s="200"/>
      <c r="Q17" s="101"/>
      <c r="R17" s="752"/>
      <c r="S17" s="101"/>
      <c r="T17" s="101"/>
      <c r="U17" s="757"/>
      <c r="V17" s="759" t="s">
        <v>232</v>
      </c>
      <c r="W17" s="310"/>
      <c r="X17" s="310"/>
      <c r="Y17" s="310"/>
      <c r="Z17" s="310"/>
      <c r="AA17" s="310"/>
      <c r="AB17" s="310"/>
      <c r="AC17" s="310"/>
      <c r="AD17" s="310"/>
      <c r="AE17" s="310"/>
      <c r="AF17" s="310"/>
      <c r="AG17" s="310"/>
      <c r="AH17" s="310"/>
      <c r="AI17" s="310"/>
      <c r="AJ17" s="310"/>
      <c r="AK17" s="310"/>
      <c r="AL17" s="310"/>
      <c r="AM17" s="310"/>
      <c r="AN17" s="310"/>
      <c r="AO17" s="310"/>
      <c r="AP17" s="310"/>
      <c r="AQ17" s="310"/>
      <c r="AS17" s="66"/>
      <c r="AT17" s="66" t="str">
        <f t="shared" si="1"/>
        <v>Добавить территорию для дифференциации</v>
      </c>
      <c r="AU17" s="66"/>
      <c r="AV17" s="66"/>
      <c r="AW17" s="65">
        <v>0</v>
      </c>
    </row>
    <row r="18" spans="1:49" ht="14.25" hidden="1" customHeight="1">
      <c r="AW18" s="10">
        <v>0</v>
      </c>
    </row>
    <row r="19" spans="1:49" ht="14.25" hidden="1" customHeight="1">
      <c r="AG19" s="365"/>
      <c r="AH19" s="365"/>
      <c r="AI19" s="365"/>
      <c r="AJ19" s="365"/>
      <c r="AK19" s="765"/>
      <c r="AL19" s="1281"/>
      <c r="AM19" s="1280" t="s">
        <v>64</v>
      </c>
      <c r="AN19" s="1281"/>
      <c r="AO19" s="1280" t="s">
        <v>64</v>
      </c>
      <c r="AW19" s="10">
        <v>0</v>
      </c>
    </row>
    <row r="20" spans="1:49" ht="14.25" hidden="1" customHeight="1">
      <c r="AG20" s="365"/>
      <c r="AH20" s="365"/>
      <c r="AI20" s="365"/>
      <c r="AJ20" s="365"/>
      <c r="AK20" s="765"/>
      <c r="AL20" s="1281"/>
      <c r="AM20" s="1280"/>
      <c r="AN20" s="1281"/>
      <c r="AO20" s="1280"/>
      <c r="AW20" s="10">
        <v>0</v>
      </c>
    </row>
    <row r="21" spans="1:49" ht="14.25" hidden="1" customHeight="1">
      <c r="AG21" s="365"/>
      <c r="AH21" s="365"/>
      <c r="AI21" s="365"/>
      <c r="AJ21" s="365"/>
      <c r="AK21" s="765"/>
      <c r="AL21" s="1281"/>
      <c r="AM21" s="1280"/>
      <c r="AN21" s="1281"/>
      <c r="AO21" s="1280"/>
      <c r="AW21" s="10">
        <v>0</v>
      </c>
    </row>
    <row r="22" spans="1:49" ht="14.25" hidden="1" customHeight="1">
      <c r="AG22" s="365"/>
      <c r="AH22" s="365"/>
      <c r="AI22" s="365"/>
      <c r="AJ22" s="365"/>
      <c r="AK22" s="189" t="str">
        <f>AL19&amp;"-"&amp;AN19</f>
        <v>-</v>
      </c>
      <c r="AL22" s="1280"/>
      <c r="AM22" s="1280"/>
      <c r="AN22" s="1280"/>
      <c r="AO22" s="1280"/>
      <c r="AW22" s="10">
        <v>0</v>
      </c>
    </row>
    <row r="23" spans="1:49" ht="14.25" hidden="1" customHeight="1">
      <c r="AW23" s="10">
        <v>0</v>
      </c>
    </row>
    <row r="24" spans="1:49" s="60" customFormat="1" ht="22.5" hidden="1" customHeight="1">
      <c r="A24" s="10"/>
      <c r="B24" s="10"/>
      <c r="C24" s="10"/>
      <c r="D24" s="10"/>
      <c r="E24" s="10"/>
      <c r="F24" s="10"/>
      <c r="G24" s="10"/>
      <c r="H24" s="10"/>
      <c r="I24" s="10"/>
      <c r="J24" s="10"/>
      <c r="K24" s="10"/>
      <c r="L24" s="10"/>
      <c r="M24" s="56"/>
      <c r="N24" s="32"/>
      <c r="O24" s="32"/>
      <c r="P24" s="761" t="s">
        <v>415</v>
      </c>
      <c r="Q24" s="503"/>
      <c r="R24" s="769"/>
      <c r="S24" s="769"/>
      <c r="T24" s="769"/>
      <c r="U24" s="423"/>
      <c r="AC24" s="768"/>
      <c r="AE24" s="768"/>
      <c r="AL24" s="768"/>
      <c r="AN24" s="768"/>
      <c r="AR24" s="65"/>
      <c r="AS24" s="65"/>
      <c r="AT24" s="65"/>
      <c r="AU24" s="65"/>
      <c r="AV24" s="65"/>
      <c r="AW24" s="60">
        <v>0</v>
      </c>
    </row>
    <row r="25" spans="1:49" s="60" customFormat="1" ht="14.25" hidden="1" customHeight="1">
      <c r="A25" s="10"/>
      <c r="B25" s="10"/>
      <c r="C25" s="10"/>
      <c r="D25" s="10"/>
      <c r="E25" s="10"/>
      <c r="F25" s="10"/>
      <c r="G25" s="10"/>
      <c r="H25" s="10"/>
      <c r="I25" s="10"/>
      <c r="J25" s="10"/>
      <c r="K25" s="10"/>
      <c r="L25" s="10"/>
      <c r="M25" s="56"/>
      <c r="N25" s="32"/>
      <c r="O25" s="32"/>
      <c r="P25" s="32"/>
      <c r="Q25" s="503"/>
      <c r="R25" s="769"/>
      <c r="S25" s="769"/>
      <c r="T25" s="769"/>
      <c r="U25" s="423"/>
      <c r="AR25" s="65"/>
      <c r="AS25" s="65"/>
      <c r="AT25" s="65"/>
      <c r="AU25" s="65"/>
      <c r="AV25" s="65"/>
      <c r="AW25" s="60">
        <v>0</v>
      </c>
    </row>
    <row r="26" spans="1:49" s="60" customFormat="1" ht="14.25" hidden="1" customHeight="1">
      <c r="A26" s="10"/>
      <c r="B26" s="10"/>
      <c r="C26" s="10"/>
      <c r="D26" s="10"/>
      <c r="E26" s="10"/>
      <c r="F26" s="10"/>
      <c r="G26" s="10"/>
      <c r="H26" s="10"/>
      <c r="I26" s="10"/>
      <c r="J26" s="10"/>
      <c r="K26" s="10"/>
      <c r="L26" s="10"/>
      <c r="M26" s="56"/>
      <c r="N26" s="32"/>
      <c r="O26" s="32"/>
      <c r="P26" s="751" t="s">
        <v>416</v>
      </c>
      <c r="Q26" s="503"/>
      <c r="R26" s="769"/>
      <c r="S26" s="769"/>
      <c r="T26" s="769"/>
      <c r="U26" s="423"/>
      <c r="V26" s="60" t="s">
        <v>417</v>
      </c>
      <c r="AD26" s="79" t="s">
        <v>418</v>
      </c>
      <c r="AF26" s="79" t="s">
        <v>419</v>
      </c>
      <c r="AG26" s="60" t="s">
        <v>417</v>
      </c>
      <c r="AM26" s="79" t="s">
        <v>420</v>
      </c>
      <c r="AO26" s="79" t="s">
        <v>419</v>
      </c>
      <c r="AR26" s="65"/>
      <c r="AS26" s="65"/>
      <c r="AT26" s="65"/>
      <c r="AU26" s="65"/>
      <c r="AV26" s="65"/>
      <c r="AW26" s="60">
        <v>0</v>
      </c>
    </row>
    <row r="27" spans="1:49" ht="14.25" hidden="1" customHeight="1">
      <c r="P27" s="751"/>
      <c r="AW27" s="10">
        <v>0</v>
      </c>
    </row>
    <row r="28" spans="1:49" ht="14.25" hidden="1" customHeight="1">
      <c r="P28" s="751"/>
      <c r="AW28" s="10">
        <v>0</v>
      </c>
    </row>
    <row r="29" spans="1:49" ht="14.65" customHeight="1">
      <c r="R29" s="27"/>
      <c r="S29" s="27"/>
      <c r="T29" s="27"/>
      <c r="U29" s="736"/>
      <c r="V29" s="9"/>
      <c r="W29" s="9"/>
      <c r="AW29" s="10">
        <v>14</v>
      </c>
    </row>
    <row r="30" spans="1:49" ht="56.65" customHeight="1">
      <c r="R30" s="27"/>
      <c r="S30" s="27"/>
      <c r="T30" s="27"/>
      <c r="U30" s="126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4"/>
      <c r="W30" s="1264"/>
      <c r="X30" s="1264"/>
      <c r="Y30" s="1264"/>
      <c r="Z30" s="1264"/>
      <c r="AA30" s="1264"/>
      <c r="AB30" s="1264"/>
      <c r="AC30" s="1264"/>
      <c r="AD30" s="1264"/>
      <c r="AE30" s="1264"/>
      <c r="AF30" s="1264"/>
      <c r="AG30" s="1264"/>
      <c r="AH30" s="1264"/>
      <c r="AI30" s="1264"/>
      <c r="AJ30" s="1264"/>
      <c r="AK30" s="1264"/>
      <c r="AL30" s="1264"/>
      <c r="AM30" s="1264"/>
      <c r="AN30" s="1264"/>
      <c r="AO30" s="57"/>
      <c r="AW30" s="10">
        <v>54</v>
      </c>
    </row>
    <row r="31" spans="1:49" ht="14.65" customHeight="1">
      <c r="R31" s="27"/>
      <c r="S31" s="27"/>
      <c r="T31" s="27"/>
      <c r="U31" s="1236" t="str">
        <f>IF(org=0,"Не определено",org)</f>
        <v>Общество с ограниченной ответственностью "Березовский рудник"</v>
      </c>
      <c r="V31" s="1236"/>
      <c r="W31" s="1236"/>
      <c r="X31" s="1236"/>
      <c r="Y31" s="1236"/>
      <c r="Z31" s="1236"/>
      <c r="AA31" s="1236"/>
      <c r="AB31" s="1236"/>
      <c r="AC31" s="1236"/>
      <c r="AD31" s="1236"/>
      <c r="AE31" s="1236"/>
      <c r="AF31" s="1236"/>
      <c r="AG31" s="1236"/>
      <c r="AH31" s="1236"/>
      <c r="AI31" s="1236"/>
      <c r="AJ31" s="1236"/>
      <c r="AK31" s="1236"/>
      <c r="AL31" s="1236"/>
      <c r="AM31" s="1236"/>
      <c r="AN31" s="1236"/>
      <c r="AO31" s="57"/>
      <c r="AW31" s="10">
        <v>14</v>
      </c>
    </row>
    <row r="32" spans="1:49" ht="14.25" hidden="1" customHeight="1">
      <c r="R32" s="27"/>
      <c r="S32" s="27"/>
      <c r="T32" s="27"/>
      <c r="U32" s="736"/>
      <c r="V32" s="9"/>
      <c r="W32" s="9"/>
      <c r="X32" s="186"/>
      <c r="Y32" s="186"/>
      <c r="Z32" s="186"/>
      <c r="AA32" s="186"/>
      <c r="AB32" s="186"/>
      <c r="AC32" s="186"/>
      <c r="AD32" s="186"/>
      <c r="AE32" s="186"/>
      <c r="AF32" s="186"/>
      <c r="AG32" s="186"/>
      <c r="AH32" s="186"/>
      <c r="AI32" s="186"/>
      <c r="AJ32" s="186"/>
      <c r="AK32" s="186"/>
      <c r="AL32" s="186"/>
      <c r="AM32" s="186"/>
      <c r="AN32" s="186"/>
      <c r="AO32" s="186"/>
      <c r="AW32" s="10">
        <v>0</v>
      </c>
    </row>
    <row r="33" spans="1:49" s="34" customFormat="1" ht="25.5" hidden="1" customHeight="1">
      <c r="A33" s="16"/>
      <c r="B33" s="16"/>
      <c r="C33" s="16"/>
      <c r="D33" s="16"/>
      <c r="E33" s="16"/>
      <c r="F33" s="16"/>
      <c r="G33" s="16"/>
      <c r="H33" s="16"/>
      <c r="I33" s="16"/>
      <c r="J33" s="16"/>
      <c r="K33" s="16"/>
      <c r="L33" s="16"/>
      <c r="M33" s="751"/>
      <c r="N33" s="16"/>
      <c r="O33" s="16"/>
      <c r="P33" s="16"/>
      <c r="U33" s="1274" t="s">
        <v>41</v>
      </c>
      <c r="V33" s="1274"/>
      <c r="W33" s="770"/>
      <c r="X33" s="1276" t="str">
        <f>IF(TITLE_NAME_OR_PR_CHANGE="",IF(TITLE_NAME_OR_PR="","",TITLE_NAME_OR_PR),TITLE_NAME_OR_PR_CHANGE)</f>
        <v/>
      </c>
      <c r="Y33" s="1276"/>
      <c r="Z33" s="1276"/>
      <c r="AA33" s="1276"/>
      <c r="AB33" s="1276"/>
      <c r="AC33" s="1276"/>
      <c r="AD33" s="1276"/>
      <c r="AE33" s="1276"/>
      <c r="AF33" s="10"/>
      <c r="AG33" s="1276" t="str">
        <f>IF(TITLE_NAME_OR_PR_CHANGE="",IF(TITLE_NAME_OR_PR="","",TITLE_NAME_OR_PR),TITLE_NAME_OR_PR_CHANGE)</f>
        <v/>
      </c>
      <c r="AH33" s="1276"/>
      <c r="AI33" s="1276"/>
      <c r="AJ33" s="1276"/>
      <c r="AK33" s="1276"/>
      <c r="AL33" s="1276"/>
      <c r="AM33" s="1276"/>
      <c r="AN33" s="1276"/>
      <c r="AO33" s="10"/>
      <c r="AP33" s="10"/>
      <c r="AQ33" s="160"/>
      <c r="AR33" s="66"/>
      <c r="AS33" s="66"/>
      <c r="AT33" s="66"/>
      <c r="AU33" s="66"/>
      <c r="AV33" s="66"/>
      <c r="AW33" s="34">
        <v>0</v>
      </c>
    </row>
    <row r="34" spans="1:49" s="34" customFormat="1" ht="18.75" hidden="1" customHeight="1">
      <c r="A34" s="16"/>
      <c r="B34" s="16"/>
      <c r="C34" s="16"/>
      <c r="D34" s="16"/>
      <c r="E34" s="16"/>
      <c r="F34" s="16"/>
      <c r="G34" s="16"/>
      <c r="H34" s="16"/>
      <c r="I34" s="16"/>
      <c r="J34" s="16"/>
      <c r="K34" s="16"/>
      <c r="L34" s="16"/>
      <c r="M34" s="751"/>
      <c r="N34" s="16"/>
      <c r="O34" s="16"/>
      <c r="P34" s="16"/>
      <c r="U34" s="1274" t="s">
        <v>421</v>
      </c>
      <c r="V34" s="1274"/>
      <c r="W34" s="770"/>
      <c r="X34" s="1275">
        <f>IF(TITLE_DATE_PR_CHANGE="",IF(TITLE_DATE_PR="","",TITLE_DATE_PR),TITLE_DATE_PR_CHANGE)</f>
        <v>45805</v>
      </c>
      <c r="Y34" s="1275"/>
      <c r="Z34" s="1275"/>
      <c r="AA34" s="1275"/>
      <c r="AB34" s="1275"/>
      <c r="AC34" s="1275"/>
      <c r="AD34" s="1275"/>
      <c r="AE34" s="1275"/>
      <c r="AF34" s="10"/>
      <c r="AG34" s="1275">
        <f>IF(TITLE_DATE_PR_CHANGE="",IF(TITLE_DATE_PR="","",TITLE_DATE_PR),TITLE_DATE_PR_CHANGE)</f>
        <v>45805</v>
      </c>
      <c r="AH34" s="1275"/>
      <c r="AI34" s="1275"/>
      <c r="AJ34" s="1275"/>
      <c r="AK34" s="1275"/>
      <c r="AL34" s="1275"/>
      <c r="AM34" s="1275"/>
      <c r="AN34" s="1275"/>
      <c r="AO34" s="10"/>
      <c r="AP34" s="10"/>
      <c r="AQ34" s="160"/>
      <c r="AR34" s="66"/>
      <c r="AS34" s="66"/>
      <c r="AT34" s="66"/>
      <c r="AU34" s="66"/>
      <c r="AV34" s="66"/>
      <c r="AW34" s="34">
        <v>0</v>
      </c>
    </row>
    <row r="35" spans="1:49" s="34" customFormat="1" ht="18.75" hidden="1" customHeight="1">
      <c r="A35" s="16"/>
      <c r="B35" s="16"/>
      <c r="C35" s="16"/>
      <c r="D35" s="16"/>
      <c r="E35" s="16"/>
      <c r="F35" s="16"/>
      <c r="G35" s="16"/>
      <c r="H35" s="16"/>
      <c r="I35" s="16"/>
      <c r="J35" s="16"/>
      <c r="K35" s="16"/>
      <c r="L35" s="16"/>
      <c r="M35" s="751"/>
      <c r="N35" s="16"/>
      <c r="O35" s="16"/>
      <c r="P35" s="16"/>
      <c r="U35" s="1274" t="s">
        <v>422</v>
      </c>
      <c r="V35" s="1274"/>
      <c r="W35" s="770"/>
      <c r="X35" s="1276" t="str">
        <f>IF(TITLE_NUMBER_PR_CHANGE="",IF(TITLE_NUMBER_PR="","",TITLE_NUMBER_PR),TITLE_NUMBER_PR_CHANGE)</f>
        <v>2496</v>
      </c>
      <c r="Y35" s="1276"/>
      <c r="Z35" s="1276"/>
      <c r="AA35" s="1276"/>
      <c r="AB35" s="1276"/>
      <c r="AC35" s="1276"/>
      <c r="AD35" s="1276"/>
      <c r="AE35" s="1276"/>
      <c r="AF35" s="10"/>
      <c r="AG35" s="1276" t="str">
        <f>IF(TITLE_NUMBER_PR_CHANGE="",IF(TITLE_NUMBER_PR="","",TITLE_NUMBER_PR),TITLE_NUMBER_PR_CHANGE)</f>
        <v>2496</v>
      </c>
      <c r="AH35" s="1276"/>
      <c r="AI35" s="1276"/>
      <c r="AJ35" s="1276"/>
      <c r="AK35" s="1276"/>
      <c r="AL35" s="1276"/>
      <c r="AM35" s="1276"/>
      <c r="AN35" s="1276"/>
      <c r="AO35" s="10"/>
      <c r="AP35" s="10"/>
      <c r="AQ35" s="160"/>
      <c r="AR35" s="66"/>
      <c r="AS35" s="66"/>
      <c r="AT35" s="66"/>
      <c r="AU35" s="66"/>
      <c r="AV35" s="66"/>
      <c r="AW35" s="34">
        <v>0</v>
      </c>
    </row>
    <row r="36" spans="1:49" s="34" customFormat="1" ht="18.75" hidden="1" customHeight="1">
      <c r="A36" s="16"/>
      <c r="B36" s="16"/>
      <c r="C36" s="16"/>
      <c r="D36" s="16"/>
      <c r="E36" s="16"/>
      <c r="F36" s="16"/>
      <c r="G36" s="16"/>
      <c r="H36" s="16"/>
      <c r="I36" s="16"/>
      <c r="J36" s="16"/>
      <c r="K36" s="16"/>
      <c r="L36" s="16"/>
      <c r="M36" s="751"/>
      <c r="N36" s="16"/>
      <c r="O36" s="16"/>
      <c r="P36" s="16"/>
      <c r="U36" s="1274" t="s">
        <v>42</v>
      </c>
      <c r="V36" s="1274"/>
      <c r="W36" s="770"/>
      <c r="X36" s="1276" t="str">
        <f>IF(TITLE_IST_PUB_CHANGE="",IF(TITLE_IST_PUB="","",TITLE_IST_PUB),TITLE_IST_PUB_CHANGE)</f>
        <v/>
      </c>
      <c r="Y36" s="1276"/>
      <c r="Z36" s="1276"/>
      <c r="AA36" s="1276"/>
      <c r="AB36" s="1276"/>
      <c r="AC36" s="1276"/>
      <c r="AD36" s="1276"/>
      <c r="AE36" s="1276"/>
      <c r="AF36" s="10"/>
      <c r="AG36" s="1276" t="str">
        <f>IF(TITLE_IST_PUB_CHANGE="",IF(TITLE_IST_PUB="","",TITLE_IST_PUB),TITLE_IST_PUB_CHANGE)</f>
        <v/>
      </c>
      <c r="AH36" s="1276"/>
      <c r="AI36" s="1276"/>
      <c r="AJ36" s="1276"/>
      <c r="AK36" s="1276"/>
      <c r="AL36" s="1276"/>
      <c r="AM36" s="1276"/>
      <c r="AN36" s="1276"/>
      <c r="AO36" s="10"/>
      <c r="AP36" s="10"/>
      <c r="AQ36" s="160"/>
      <c r="AR36" s="66"/>
      <c r="AS36" s="66"/>
      <c r="AT36" s="66"/>
      <c r="AU36" s="66"/>
      <c r="AV36" s="66"/>
      <c r="AW36" s="34">
        <v>0</v>
      </c>
    </row>
    <row r="37" spans="1:49" ht="14.25" customHeight="1">
      <c r="R37" s="27"/>
      <c r="S37" s="27"/>
      <c r="T37" s="27"/>
      <c r="U37" s="736"/>
      <c r="V37" s="9"/>
      <c r="W37" s="9"/>
      <c r="X37" s="186"/>
      <c r="Y37" s="186"/>
      <c r="Z37" s="186"/>
      <c r="AA37" s="186"/>
      <c r="AB37" s="186"/>
      <c r="AC37" s="186"/>
      <c r="AD37" s="186"/>
      <c r="AE37" s="186"/>
      <c r="AF37" s="186"/>
      <c r="AG37" s="186"/>
      <c r="AH37" s="186"/>
      <c r="AI37" s="186"/>
      <c r="AJ37" s="186"/>
      <c r="AK37" s="186"/>
      <c r="AL37" s="186"/>
      <c r="AM37" s="186"/>
      <c r="AN37" s="186"/>
      <c r="AO37" s="186"/>
      <c r="AW37" s="10">
        <v>0</v>
      </c>
    </row>
    <row r="38" spans="1:49" s="34" customFormat="1" ht="18.75" customHeight="1">
      <c r="A38" s="16"/>
      <c r="B38" s="16"/>
      <c r="C38" s="16"/>
      <c r="D38" s="16"/>
      <c r="E38" s="16"/>
      <c r="F38" s="16"/>
      <c r="G38" s="16"/>
      <c r="H38" s="16"/>
      <c r="I38" s="16"/>
      <c r="J38" s="16"/>
      <c r="K38" s="16"/>
      <c r="L38" s="16"/>
      <c r="M38" s="751"/>
      <c r="N38" s="16"/>
      <c r="O38" s="16"/>
      <c r="P38" s="16"/>
      <c r="U38" s="1274" t="s">
        <v>423</v>
      </c>
      <c r="V38" s="1274"/>
      <c r="W38" s="770"/>
      <c r="X38" s="1275">
        <f>IF(TITLE_DATE_PR_CHANGE="",IF(TITLE_DATE_PR="","",TITLE_DATE_PR),TITLE_DATE_PR_CHANGE)</f>
        <v>45805</v>
      </c>
      <c r="Y38" s="1275"/>
      <c r="Z38" s="1275"/>
      <c r="AA38" s="1275"/>
      <c r="AB38" s="1275"/>
      <c r="AC38" s="1275"/>
      <c r="AD38" s="1275"/>
      <c r="AE38" s="1275"/>
      <c r="AF38" s="10"/>
      <c r="AG38" s="1275">
        <f>IF(TITLE_DATE_PR_CHANGE="",IF(TITLE_DATE_PR="","",TITLE_DATE_PR),TITLE_DATE_PR_CHANGE)</f>
        <v>45805</v>
      </c>
      <c r="AH38" s="1275"/>
      <c r="AI38" s="1275"/>
      <c r="AJ38" s="1275"/>
      <c r="AK38" s="1275"/>
      <c r="AL38" s="1275"/>
      <c r="AM38" s="1275"/>
      <c r="AN38" s="1275"/>
      <c r="AO38" s="10"/>
      <c r="AP38" s="10"/>
      <c r="AQ38" s="160"/>
      <c r="AR38" s="66"/>
      <c r="AS38" s="66"/>
      <c r="AT38" s="66"/>
      <c r="AU38" s="66"/>
      <c r="AV38" s="66"/>
      <c r="AW38" s="34">
        <v>0</v>
      </c>
    </row>
    <row r="39" spans="1:49" s="34" customFormat="1" ht="18.75" customHeight="1">
      <c r="A39" s="16"/>
      <c r="B39" s="16"/>
      <c r="C39" s="16"/>
      <c r="D39" s="16"/>
      <c r="E39" s="16"/>
      <c r="F39" s="16"/>
      <c r="G39" s="16"/>
      <c r="H39" s="16"/>
      <c r="I39" s="16"/>
      <c r="J39" s="16"/>
      <c r="K39" s="16"/>
      <c r="L39" s="16"/>
      <c r="M39" s="751"/>
      <c r="N39" s="16"/>
      <c r="O39" s="16"/>
      <c r="P39" s="16"/>
      <c r="U39" s="1274" t="s">
        <v>424</v>
      </c>
      <c r="V39" s="1274"/>
      <c r="W39" s="770"/>
      <c r="X39" s="1276" t="str">
        <f>IF(TITLE_NUMBER_PR_CHANGE="",IF(TITLE_NUMBER_PR="","",TITLE_NUMBER_PR),TITLE_NUMBER_PR_CHANGE)</f>
        <v>2496</v>
      </c>
      <c r="Y39" s="1276"/>
      <c r="Z39" s="1276"/>
      <c r="AA39" s="1276"/>
      <c r="AB39" s="1276"/>
      <c r="AC39" s="1276"/>
      <c r="AD39" s="1276"/>
      <c r="AE39" s="1276"/>
      <c r="AF39" s="10"/>
      <c r="AG39" s="1276" t="str">
        <f>IF(TITLE_NUMBER_PR_CHANGE="",IF(TITLE_NUMBER_PR="","",TITLE_NUMBER_PR),TITLE_NUMBER_PR_CHANGE)</f>
        <v>2496</v>
      </c>
      <c r="AH39" s="1276"/>
      <c r="AI39" s="1276"/>
      <c r="AJ39" s="1276"/>
      <c r="AK39" s="1276"/>
      <c r="AL39" s="1276"/>
      <c r="AM39" s="1276"/>
      <c r="AN39" s="1276"/>
      <c r="AO39" s="10"/>
      <c r="AP39" s="10"/>
      <c r="AQ39" s="160"/>
      <c r="AR39" s="66"/>
      <c r="AS39" s="66"/>
      <c r="AT39" s="66"/>
      <c r="AU39" s="66"/>
      <c r="AV39" s="66"/>
      <c r="AW39" s="34">
        <v>0</v>
      </c>
    </row>
    <row r="40" spans="1:49" s="34" customFormat="1" ht="0" hidden="1" customHeight="1">
      <c r="A40" s="16"/>
      <c r="B40" s="16"/>
      <c r="C40" s="16"/>
      <c r="D40" s="16"/>
      <c r="E40" s="16"/>
      <c r="F40" s="16"/>
      <c r="G40" s="16"/>
      <c r="H40" s="16"/>
      <c r="I40" s="16"/>
      <c r="J40" s="16"/>
      <c r="K40" s="16"/>
      <c r="L40" s="16"/>
      <c r="M40" s="751"/>
      <c r="N40" s="16"/>
      <c r="O40" s="16"/>
      <c r="P40" s="16"/>
      <c r="U40" s="10"/>
      <c r="V40" s="10"/>
      <c r="W40" s="75"/>
      <c r="X40" s="10"/>
      <c r="Y40" s="10"/>
      <c r="Z40" s="10"/>
      <c r="AA40" s="10"/>
      <c r="AB40" s="10"/>
      <c r="AC40" s="10"/>
      <c r="AD40" s="10"/>
      <c r="AE40" s="10"/>
      <c r="AF40" s="65" t="s">
        <v>425</v>
      </c>
      <c r="AG40" s="10"/>
      <c r="AH40" s="10"/>
      <c r="AI40" s="10"/>
      <c r="AJ40" s="10"/>
      <c r="AK40" s="10"/>
      <c r="AL40" s="10"/>
      <c r="AM40" s="10"/>
      <c r="AN40" s="10"/>
      <c r="AO40" s="65" t="s">
        <v>425</v>
      </c>
      <c r="AR40" s="66"/>
      <c r="AS40" s="66"/>
      <c r="AT40" s="66"/>
      <c r="AU40" s="66"/>
      <c r="AV40" s="66"/>
      <c r="AW40" s="34">
        <v>0</v>
      </c>
    </row>
    <row r="41" spans="1:49" ht="14.65" customHeight="1">
      <c r="R41" s="27"/>
      <c r="S41" s="27"/>
      <c r="T41" s="27"/>
      <c r="U41" s="736"/>
      <c r="V41" s="9"/>
      <c r="W41" s="717"/>
      <c r="X41" s="1295"/>
      <c r="Y41" s="1295"/>
      <c r="Z41" s="1295"/>
      <c r="AA41" s="1295"/>
      <c r="AB41" s="1295"/>
      <c r="AC41" s="1295"/>
      <c r="AD41" s="1295"/>
      <c r="AE41" s="1295"/>
      <c r="AF41" s="1295"/>
      <c r="AG41" s="1295"/>
      <c r="AH41" s="1295"/>
      <c r="AI41" s="1295"/>
      <c r="AJ41" s="1295"/>
      <c r="AK41" s="1295"/>
      <c r="AL41" s="1295"/>
      <c r="AM41" s="1295"/>
      <c r="AN41" s="1295"/>
      <c r="AO41" s="1295"/>
      <c r="AW41" s="10">
        <v>14</v>
      </c>
    </row>
    <row r="42" spans="1:49" ht="14.65" customHeight="1">
      <c r="R42" s="27"/>
      <c r="S42" s="27"/>
      <c r="T42" s="27"/>
      <c r="U42" s="1146" t="s">
        <v>300</v>
      </c>
      <c r="V42" s="1146"/>
      <c r="W42" s="1146"/>
      <c r="X42" s="1146"/>
      <c r="Y42" s="1146"/>
      <c r="Z42" s="1146"/>
      <c r="AA42" s="1146"/>
      <c r="AB42" s="1146"/>
      <c r="AC42" s="1146"/>
      <c r="AD42" s="1146"/>
      <c r="AE42" s="1146"/>
      <c r="AF42" s="1146"/>
      <c r="AG42" s="1146"/>
      <c r="AH42" s="1146"/>
      <c r="AI42" s="1146"/>
      <c r="AJ42" s="1146"/>
      <c r="AK42" s="1146"/>
      <c r="AL42" s="1146"/>
      <c r="AM42" s="1146"/>
      <c r="AN42" s="1146"/>
      <c r="AO42" s="1146"/>
      <c r="AP42" s="1146"/>
      <c r="AQ42" s="1146" t="s">
        <v>301</v>
      </c>
      <c r="AW42" s="10">
        <v>14</v>
      </c>
    </row>
    <row r="43" spans="1:49" ht="14.65" customHeight="1">
      <c r="R43" s="27"/>
      <c r="S43" s="27"/>
      <c r="T43" s="27"/>
      <c r="U43" s="1296" t="s">
        <v>86</v>
      </c>
      <c r="V43" s="1244" t="s">
        <v>426</v>
      </c>
      <c r="W43" s="169"/>
      <c r="X43" s="1297" t="s">
        <v>427</v>
      </c>
      <c r="Y43" s="1313"/>
      <c r="Z43" s="1313"/>
      <c r="AA43" s="1313"/>
      <c r="AB43" s="1313"/>
      <c r="AC43" s="1298"/>
      <c r="AD43" s="1298"/>
      <c r="AE43" s="1299"/>
      <c r="AF43" s="1300" t="s">
        <v>428</v>
      </c>
      <c r="AG43" s="1297" t="s">
        <v>427</v>
      </c>
      <c r="AH43" s="1313"/>
      <c r="AI43" s="1313"/>
      <c r="AJ43" s="1313"/>
      <c r="AK43" s="1313"/>
      <c r="AL43" s="1298"/>
      <c r="AM43" s="1298"/>
      <c r="AN43" s="1299"/>
      <c r="AO43" s="1300" t="s">
        <v>429</v>
      </c>
      <c r="AP43" s="1303" t="s">
        <v>430</v>
      </c>
      <c r="AQ43" s="1146"/>
      <c r="AW43" s="10">
        <v>14</v>
      </c>
    </row>
    <row r="44" spans="1:49" ht="35.65" customHeight="1">
      <c r="R44" s="27"/>
      <c r="S44" s="27"/>
      <c r="T44" s="27"/>
      <c r="U44" s="1296"/>
      <c r="V44" s="1244"/>
      <c r="W44" s="604"/>
      <c r="X44" s="1217" t="s">
        <v>452</v>
      </c>
      <c r="Y44" s="1146" t="s">
        <v>453</v>
      </c>
      <c r="Z44" s="1146"/>
      <c r="AA44" s="1146"/>
      <c r="AB44" s="1146"/>
      <c r="AC44" s="1217" t="s">
        <v>434</v>
      </c>
      <c r="AD44" s="1325"/>
      <c r="AE44" s="1218"/>
      <c r="AF44" s="1301"/>
      <c r="AG44" s="1217" t="s">
        <v>452</v>
      </c>
      <c r="AH44" s="1146" t="s">
        <v>453</v>
      </c>
      <c r="AI44" s="1146"/>
      <c r="AJ44" s="1146"/>
      <c r="AK44" s="1146"/>
      <c r="AL44" s="1217" t="s">
        <v>434</v>
      </c>
      <c r="AM44" s="1325"/>
      <c r="AN44" s="1218"/>
      <c r="AO44" s="1301"/>
      <c r="AP44" s="1304"/>
      <c r="AQ44" s="1146"/>
      <c r="AW44" s="10">
        <v>34</v>
      </c>
    </row>
    <row r="45" spans="1:49" ht="14.65" customHeight="1">
      <c r="R45" s="27"/>
      <c r="S45" s="27"/>
      <c r="T45" s="27"/>
      <c r="U45" s="1296"/>
      <c r="V45" s="1244"/>
      <c r="W45" s="604"/>
      <c r="X45" s="1219"/>
      <c r="Y45" s="1250" t="s">
        <v>454</v>
      </c>
      <c r="Z45" s="1249" t="s">
        <v>455</v>
      </c>
      <c r="AA45" s="1262"/>
      <c r="AB45" s="1263"/>
      <c r="AC45" s="1222"/>
      <c r="AD45" s="1326"/>
      <c r="AE45" s="1223"/>
      <c r="AF45" s="1301"/>
      <c r="AG45" s="1219"/>
      <c r="AH45" s="1250" t="s">
        <v>454</v>
      </c>
      <c r="AI45" s="1249" t="s">
        <v>455</v>
      </c>
      <c r="AJ45" s="1262"/>
      <c r="AK45" s="1263"/>
      <c r="AL45" s="1222"/>
      <c r="AM45" s="1326"/>
      <c r="AN45" s="1223"/>
      <c r="AO45" s="1301"/>
      <c r="AP45" s="1304"/>
      <c r="AQ45" s="1146"/>
      <c r="AW45" s="10">
        <v>14</v>
      </c>
    </row>
    <row r="46" spans="1:49" ht="27.4" customHeight="1">
      <c r="R46" s="27"/>
      <c r="S46" s="27"/>
      <c r="T46" s="27"/>
      <c r="U46" s="1296"/>
      <c r="V46" s="1244"/>
      <c r="W46" s="604"/>
      <c r="X46" s="1219"/>
      <c r="Y46" s="1324"/>
      <c r="Z46" s="1250" t="s">
        <v>456</v>
      </c>
      <c r="AA46" s="1249" t="s">
        <v>457</v>
      </c>
      <c r="AB46" s="1263"/>
      <c r="AC46" s="1250" t="s">
        <v>444</v>
      </c>
      <c r="AD46" s="1254" t="s">
        <v>445</v>
      </c>
      <c r="AE46" s="1252"/>
      <c r="AF46" s="1301"/>
      <c r="AG46" s="1219"/>
      <c r="AH46" s="1324"/>
      <c r="AI46" s="1250" t="s">
        <v>456</v>
      </c>
      <c r="AJ46" s="1249" t="s">
        <v>457</v>
      </c>
      <c r="AK46" s="1263"/>
      <c r="AL46" s="1250" t="s">
        <v>444</v>
      </c>
      <c r="AM46" s="1254" t="s">
        <v>445</v>
      </c>
      <c r="AN46" s="1252"/>
      <c r="AO46" s="1301"/>
      <c r="AP46" s="1304"/>
      <c r="AQ46" s="1146"/>
      <c r="AW46" s="10">
        <v>26</v>
      </c>
    </row>
    <row r="47" spans="1:49" ht="65.25" customHeight="1">
      <c r="A47" s="16"/>
      <c r="B47" s="16" t="s">
        <v>133</v>
      </c>
      <c r="C47" s="16" t="s">
        <v>134</v>
      </c>
      <c r="D47" s="16" t="s">
        <v>135</v>
      </c>
      <c r="E47" s="751" t="s">
        <v>435</v>
      </c>
      <c r="F47" s="751" t="s">
        <v>436</v>
      </c>
      <c r="G47" s="751" t="s">
        <v>437</v>
      </c>
      <c r="H47" s="751" t="s">
        <v>438</v>
      </c>
      <c r="I47" s="751" t="s">
        <v>439</v>
      </c>
      <c r="J47" s="751" t="s">
        <v>440</v>
      </c>
      <c r="K47" s="751" t="s">
        <v>441</v>
      </c>
      <c r="L47" s="751" t="s">
        <v>458</v>
      </c>
      <c r="M47" s="751" t="s">
        <v>416</v>
      </c>
      <c r="R47" s="27"/>
      <c r="S47" s="27"/>
      <c r="T47" s="27"/>
      <c r="U47" s="1296"/>
      <c r="V47" s="1244"/>
      <c r="W47" s="170"/>
      <c r="X47" s="1222"/>
      <c r="Y47" s="1251"/>
      <c r="Z47" s="1251"/>
      <c r="AA47" s="38" t="s">
        <v>459</v>
      </c>
      <c r="AB47" s="38" t="s">
        <v>460</v>
      </c>
      <c r="AC47" s="1251"/>
      <c r="AD47" s="1255"/>
      <c r="AE47" s="1253"/>
      <c r="AF47" s="1302"/>
      <c r="AG47" s="1222"/>
      <c r="AH47" s="1251"/>
      <c r="AI47" s="1251"/>
      <c r="AJ47" s="38" t="s">
        <v>459</v>
      </c>
      <c r="AK47" s="38" t="s">
        <v>460</v>
      </c>
      <c r="AL47" s="1251"/>
      <c r="AM47" s="1255"/>
      <c r="AN47" s="1253"/>
      <c r="AO47" s="1302"/>
      <c r="AP47" s="1305"/>
      <c r="AQ47" s="1146"/>
      <c r="AW47" s="10">
        <v>62</v>
      </c>
    </row>
    <row r="48" spans="1:49" s="200" customFormat="1" ht="11.25" hidden="1" customHeight="1">
      <c r="A48" s="16"/>
      <c r="B48" s="16"/>
      <c r="C48" s="16"/>
      <c r="D48" s="16"/>
      <c r="E48" s="16"/>
      <c r="F48" s="16"/>
      <c r="G48" s="16"/>
      <c r="H48" s="16"/>
      <c r="I48" s="16"/>
      <c r="J48" s="16"/>
      <c r="K48" s="16"/>
      <c r="L48" s="16"/>
      <c r="M48" s="751"/>
      <c r="N48" s="32"/>
      <c r="O48" s="32"/>
      <c r="P48" s="32"/>
      <c r="Q48" s="719"/>
      <c r="R48" s="720"/>
      <c r="S48" s="722">
        <v>1</v>
      </c>
      <c r="T48" s="722"/>
      <c r="U48" s="738" t="s">
        <v>107</v>
      </c>
      <c r="V48" s="723" t="s">
        <v>108</v>
      </c>
      <c r="W48" s="718" t="str">
        <f ca="1">OFFSET(W48,0,-1)</f>
        <v>2</v>
      </c>
      <c r="X48" s="724">
        <f ca="1">OFFSET(X48,0,-1)+1</f>
        <v>3</v>
      </c>
      <c r="Y48" s="283"/>
      <c r="Z48" s="283"/>
      <c r="AA48" s="283">
        <f ca="1">OFFSET(AA48,0,-1)+1</f>
        <v>1</v>
      </c>
      <c r="AB48" s="283">
        <f ca="1">OFFSET(AB48,0,-1)+1</f>
        <v>2</v>
      </c>
      <c r="AC48" s="724">
        <f ca="1">OFFSET(AC48,0,-1)+1</f>
        <v>3</v>
      </c>
      <c r="AD48" s="1294">
        <f ca="1">OFFSET(AD48,0,-1)+1</f>
        <v>4</v>
      </c>
      <c r="AE48" s="1294"/>
      <c r="AF48" s="724">
        <f ca="1">OFFSET(AF48,0,-2)+1</f>
        <v>5</v>
      </c>
      <c r="AG48" s="724">
        <f ca="1">OFFSET(AG48,0,-1)+1</f>
        <v>6</v>
      </c>
      <c r="AH48" s="724"/>
      <c r="AI48" s="724"/>
      <c r="AJ48" s="724">
        <f ca="1">OFFSET(AJ48,0,-1)+1</f>
        <v>1</v>
      </c>
      <c r="AK48" s="724">
        <f ca="1">OFFSET(AK48,0,-1)+1</f>
        <v>2</v>
      </c>
      <c r="AL48" s="724">
        <f ca="1">OFFSET(AL48,0,-1)+1</f>
        <v>3</v>
      </c>
      <c r="AM48" s="1294">
        <f ca="1">OFFSET(AM48,0,-1)+1</f>
        <v>4</v>
      </c>
      <c r="AN48" s="1294"/>
      <c r="AO48" s="724">
        <f ca="1">OFFSET(AO48,0,-2)+1</f>
        <v>5</v>
      </c>
      <c r="AP48" s="718">
        <f ca="1">OFFSET(AP48,0,-1)</f>
        <v>5</v>
      </c>
      <c r="AQ48" s="724">
        <f ca="1">OFFSET(AQ48,0,-1)+1</f>
        <v>6</v>
      </c>
      <c r="AR48" s="65"/>
      <c r="AS48" s="65"/>
      <c r="AT48" s="65"/>
      <c r="AU48" s="65"/>
      <c r="AV48" s="65"/>
      <c r="AW48" s="200">
        <v>0</v>
      </c>
    </row>
    <row r="49" spans="1:49" ht="21.95" customHeight="1">
      <c r="A49" s="728" t="s">
        <v>172</v>
      </c>
      <c r="B49" s="728"/>
      <c r="C49" s="728"/>
      <c r="D49" s="728"/>
      <c r="E49" s="1309">
        <v>1</v>
      </c>
      <c r="F49" s="728"/>
      <c r="G49" s="728"/>
      <c r="H49" s="728"/>
      <c r="I49" s="728"/>
      <c r="J49" s="728"/>
      <c r="K49" s="728"/>
      <c r="L49" s="728"/>
      <c r="M49" s="751"/>
      <c r="N49" s="339"/>
      <c r="O49" s="339"/>
      <c r="P49" s="339"/>
      <c r="R49" s="33"/>
      <c r="S49" s="33"/>
      <c r="T49" s="204"/>
      <c r="U49" s="706">
        <f>INDEX(PT_DIFFERENTIATION_NUM_NTAR,MATCH(A49,PT_DIFFERENTIATION_NTAR_ID,0))</f>
        <v>0</v>
      </c>
      <c r="V49" s="64" t="s">
        <v>121</v>
      </c>
      <c r="W49" s="168"/>
      <c r="X49" s="1277"/>
      <c r="Y49" s="1278"/>
      <c r="Z49" s="1278"/>
      <c r="AA49" s="1278"/>
      <c r="AB49" s="1278"/>
      <c r="AC49" s="1278"/>
      <c r="AD49" s="1278"/>
      <c r="AE49" s="1278"/>
      <c r="AF49" s="1279"/>
      <c r="AG49" s="1277" t="str">
        <f>INDEX(PT_DIFFERENTIATION_NTAR,MATCH(A49,PT_DIFFERENTIATION_NTAR_ID,0))</f>
        <v/>
      </c>
      <c r="AH49" s="1278"/>
      <c r="AI49" s="1278"/>
      <c r="AJ49" s="1278"/>
      <c r="AK49" s="1278"/>
      <c r="AL49" s="1278"/>
      <c r="AM49" s="1278"/>
      <c r="AN49" s="1278"/>
      <c r="AO49" s="1278"/>
      <c r="AP49" s="1279"/>
      <c r="AQ49" s="72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6"/>
      <c r="AT49" s="66" t="str">
        <f t="shared" ref="AT49:AT65" si="2">IF(V49="","",V49)</f>
        <v>Наименование тарифа</v>
      </c>
      <c r="AU49" s="66"/>
      <c r="AV49" s="66"/>
      <c r="AW49" s="10">
        <v>21</v>
      </c>
    </row>
    <row r="50" spans="1:49" ht="21.95" customHeight="1">
      <c r="A50" s="728" t="s">
        <v>172</v>
      </c>
      <c r="B50" s="728" t="s">
        <v>173</v>
      </c>
      <c r="C50" s="728"/>
      <c r="D50" s="728"/>
      <c r="E50" s="1310"/>
      <c r="F50" s="1309">
        <v>1</v>
      </c>
      <c r="G50" s="728"/>
      <c r="H50" s="728"/>
      <c r="I50" s="728"/>
      <c r="J50" s="728"/>
      <c r="K50" s="728"/>
      <c r="L50" s="728"/>
      <c r="M50" s="751"/>
      <c r="N50" s="339"/>
      <c r="O50" s="339"/>
      <c r="P50" s="339"/>
      <c r="Q50" s="56"/>
      <c r="R50" s="201"/>
      <c r="S50" s="10"/>
      <c r="T50" s="202"/>
      <c r="U50" s="706" t="str">
        <f>INDEX(PT_DIFFERENTIATION_NUM_TER,MATCH(B50,PT_DIFFERENTIATION_TER_ID,0))</f>
        <v>.</v>
      </c>
      <c r="V50" s="174" t="s">
        <v>397</v>
      </c>
      <c r="W50" s="168"/>
      <c r="X50" s="1277"/>
      <c r="Y50" s="1278"/>
      <c r="Z50" s="1278"/>
      <c r="AA50" s="1278"/>
      <c r="AB50" s="1278"/>
      <c r="AC50" s="1278"/>
      <c r="AD50" s="1278"/>
      <c r="AE50" s="1278"/>
      <c r="AF50" s="1279"/>
      <c r="AG50" s="1277" t="str">
        <f>INDEX(PT_DIFFERENTIATION_TER,MATCH(B50,PT_DIFFERENTIATION_TER_ID,0))</f>
        <v/>
      </c>
      <c r="AH50" s="1278"/>
      <c r="AI50" s="1278"/>
      <c r="AJ50" s="1278"/>
      <c r="AK50" s="1278"/>
      <c r="AL50" s="1278"/>
      <c r="AM50" s="1278"/>
      <c r="AN50" s="1278"/>
      <c r="AO50" s="1278"/>
      <c r="AP50" s="1279"/>
      <c r="AQ50" s="726" t="s">
        <v>398</v>
      </c>
      <c r="AS50" s="66"/>
      <c r="AT50" s="66" t="str">
        <f t="shared" si="2"/>
        <v>Территория действия тарифа</v>
      </c>
      <c r="AU50" s="66"/>
      <c r="AV50" s="66"/>
      <c r="AW50" s="10">
        <v>21</v>
      </c>
    </row>
    <row r="51" spans="1:49" ht="24" customHeight="1">
      <c r="A51" s="728" t="s">
        <v>172</v>
      </c>
      <c r="B51" s="728" t="s">
        <v>173</v>
      </c>
      <c r="C51" s="728" t="s">
        <v>174</v>
      </c>
      <c r="D51" s="728"/>
      <c r="E51" s="1310"/>
      <c r="F51" s="1310"/>
      <c r="G51" s="1309">
        <v>1</v>
      </c>
      <c r="H51" s="728"/>
      <c r="I51" s="728"/>
      <c r="J51" s="728"/>
      <c r="K51" s="728"/>
      <c r="L51" s="728"/>
      <c r="M51" s="751"/>
      <c r="N51" s="339"/>
      <c r="O51" s="339"/>
      <c r="P51" s="339"/>
      <c r="Q51" s="203"/>
      <c r="R51" s="201"/>
      <c r="S51" s="10"/>
      <c r="T51" s="202"/>
      <c r="U51" s="706" t="str">
        <f>INDEX(PT_DIFFERENTIATION_NUM_CS,MATCH(C51,PT_DIFFERENTIATION_CS_ID,0))</f>
        <v>..</v>
      </c>
      <c r="V51" s="175" t="s">
        <v>399</v>
      </c>
      <c r="W51" s="168"/>
      <c r="X51" s="1277"/>
      <c r="Y51" s="1278"/>
      <c r="Z51" s="1278"/>
      <c r="AA51" s="1278"/>
      <c r="AB51" s="1278"/>
      <c r="AC51" s="1278"/>
      <c r="AD51" s="1278"/>
      <c r="AE51" s="1278"/>
      <c r="AF51" s="1279"/>
      <c r="AG51" s="1277" t="str">
        <f>INDEX(PT_DIFFERENTIATION_CS,MATCH(C51,PT_DIFFERENTIATION_CS_ID,0))</f>
        <v/>
      </c>
      <c r="AH51" s="1278"/>
      <c r="AI51" s="1278"/>
      <c r="AJ51" s="1278"/>
      <c r="AK51" s="1278"/>
      <c r="AL51" s="1278"/>
      <c r="AM51" s="1278"/>
      <c r="AN51" s="1278"/>
      <c r="AO51" s="1278"/>
      <c r="AP51" s="1279"/>
      <c r="AQ51" s="726" t="s">
        <v>400</v>
      </c>
      <c r="AS51" s="66"/>
      <c r="AT51" s="66" t="str">
        <f t="shared" si="2"/>
        <v xml:space="preserve">Наименование системы теплоснабжения </v>
      </c>
      <c r="AU51" s="66"/>
      <c r="AV51" s="66"/>
      <c r="AW51" s="10">
        <v>23</v>
      </c>
    </row>
    <row r="52" spans="1:49" ht="21.95" customHeight="1">
      <c r="A52" s="728" t="s">
        <v>172</v>
      </c>
      <c r="B52" s="728" t="s">
        <v>173</v>
      </c>
      <c r="C52" s="728" t="s">
        <v>174</v>
      </c>
      <c r="D52" s="728" t="s">
        <v>175</v>
      </c>
      <c r="E52" s="1310"/>
      <c r="F52" s="1310"/>
      <c r="G52" s="1310"/>
      <c r="H52" s="1309">
        <v>1</v>
      </c>
      <c r="I52" s="728"/>
      <c r="J52" s="728"/>
      <c r="K52" s="728"/>
      <c r="L52" s="728"/>
      <c r="M52" s="751"/>
      <c r="N52" s="339"/>
      <c r="O52" s="339"/>
      <c r="P52" s="339"/>
      <c r="Q52" s="203"/>
      <c r="R52" s="201"/>
      <c r="S52" s="10"/>
      <c r="T52" s="202"/>
      <c r="U52" s="706" t="str">
        <f>INDEX(PT_DIFFERENTIATION_NUM_IST_TE,MATCH(D52,PT_DIFFERENTIATION_IST_TE_ID,0))</f>
        <v>...</v>
      </c>
      <c r="V52" s="176" t="s">
        <v>401</v>
      </c>
      <c r="W52" s="168"/>
      <c r="X52" s="1277"/>
      <c r="Y52" s="1278"/>
      <c r="Z52" s="1278"/>
      <c r="AA52" s="1278"/>
      <c r="AB52" s="1278"/>
      <c r="AC52" s="1278"/>
      <c r="AD52" s="1278"/>
      <c r="AE52" s="1278"/>
      <c r="AF52" s="1279"/>
      <c r="AG52" s="1277" t="str">
        <f>INDEX(PT_DIFFERENTIATION_IST_TE,MATCH(D52,PT_DIFFERENTIATION_IST_TE_ID,0))</f>
        <v/>
      </c>
      <c r="AH52" s="1278"/>
      <c r="AI52" s="1278"/>
      <c r="AJ52" s="1278"/>
      <c r="AK52" s="1278"/>
      <c r="AL52" s="1278"/>
      <c r="AM52" s="1278"/>
      <c r="AN52" s="1278"/>
      <c r="AO52" s="1278"/>
      <c r="AP52" s="1279"/>
      <c r="AQ52" s="726" t="s">
        <v>402</v>
      </c>
      <c r="AS52" s="66"/>
      <c r="AT52" s="66" t="str">
        <f t="shared" si="2"/>
        <v xml:space="preserve">Источник тепловой энергии  </v>
      </c>
      <c r="AU52" s="66"/>
      <c r="AV52" s="66"/>
      <c r="AW52" s="10">
        <v>21</v>
      </c>
    </row>
    <row r="53" spans="1:49" s="65" customFormat="1" ht="0" hidden="1" customHeight="1">
      <c r="A53" s="771" t="s">
        <v>172</v>
      </c>
      <c r="B53" s="771" t="s">
        <v>173</v>
      </c>
      <c r="C53" s="771" t="s">
        <v>174</v>
      </c>
      <c r="D53" s="771" t="s">
        <v>175</v>
      </c>
      <c r="E53" s="1310"/>
      <c r="F53" s="1310"/>
      <c r="G53" s="1310"/>
      <c r="H53" s="1310"/>
      <c r="I53" s="1146" t="str">
        <f>U52&amp;".1"</f>
        <v>....1</v>
      </c>
      <c r="J53" s="771"/>
      <c r="K53" s="771"/>
      <c r="L53" s="771"/>
      <c r="M53" s="772" t="s">
        <v>403</v>
      </c>
      <c r="N53" s="719"/>
      <c r="O53" s="719"/>
      <c r="P53" s="719"/>
      <c r="Q53" s="1287">
        <v>1</v>
      </c>
      <c r="R53" s="119"/>
      <c r="S53" s="119"/>
      <c r="T53" s="205"/>
      <c r="U53" s="359"/>
      <c r="V53" s="776"/>
      <c r="W53" s="777"/>
      <c r="X53" s="1314"/>
      <c r="Y53" s="1315"/>
      <c r="Z53" s="1315"/>
      <c r="AA53" s="1315"/>
      <c r="AB53" s="1315"/>
      <c r="AC53" s="1315"/>
      <c r="AD53" s="1315"/>
      <c r="AE53" s="1315"/>
      <c r="AF53" s="1316"/>
      <c r="AG53" s="1314"/>
      <c r="AH53" s="1315"/>
      <c r="AI53" s="1315"/>
      <c r="AJ53" s="1315"/>
      <c r="AK53" s="1315"/>
      <c r="AL53" s="1315"/>
      <c r="AM53" s="1315"/>
      <c r="AN53" s="1315"/>
      <c r="AO53" s="1315"/>
      <c r="AP53" s="1316"/>
      <c r="AQ53" s="778"/>
      <c r="AS53" s="66"/>
      <c r="AT53" s="66" t="str">
        <f t="shared" si="2"/>
        <v/>
      </c>
      <c r="AU53" s="66"/>
      <c r="AV53" s="66"/>
      <c r="AW53" s="65">
        <v>0</v>
      </c>
    </row>
    <row r="54" spans="1:49" ht="21.95" customHeight="1">
      <c r="A54" s="728" t="s">
        <v>172</v>
      </c>
      <c r="B54" s="728" t="s">
        <v>173</v>
      </c>
      <c r="C54" s="728" t="s">
        <v>174</v>
      </c>
      <c r="D54" s="728" t="s">
        <v>175</v>
      </c>
      <c r="E54" s="1310"/>
      <c r="F54" s="1310"/>
      <c r="G54" s="1310"/>
      <c r="H54" s="1310"/>
      <c r="I54" s="1128"/>
      <c r="J54" s="1146" t="str">
        <f>I53&amp;".1"</f>
        <v>....1.1</v>
      </c>
      <c r="K54" s="728"/>
      <c r="L54" s="728"/>
      <c r="M54" s="751" t="s">
        <v>406</v>
      </c>
      <c r="Q54" s="1287"/>
      <c r="R54" s="1287">
        <v>1</v>
      </c>
      <c r="S54" s="65"/>
      <c r="T54" s="206"/>
      <c r="U54" s="706" t="str">
        <f>$J54</f>
        <v>....1.1</v>
      </c>
      <c r="V54" s="162" t="s">
        <v>407</v>
      </c>
      <c r="W54" s="168"/>
      <c r="X54" s="1271"/>
      <c r="Y54" s="1272"/>
      <c r="Z54" s="1272"/>
      <c r="AA54" s="1272"/>
      <c r="AB54" s="1272"/>
      <c r="AC54" s="1267"/>
      <c r="AD54" s="1267"/>
      <c r="AE54" s="1267"/>
      <c r="AF54" s="1327"/>
      <c r="AG54" s="1271"/>
      <c r="AH54" s="1272"/>
      <c r="AI54" s="1272"/>
      <c r="AJ54" s="1272"/>
      <c r="AK54" s="1272"/>
      <c r="AL54" s="1272"/>
      <c r="AM54" s="1272"/>
      <c r="AN54" s="1272"/>
      <c r="AO54" s="1272"/>
      <c r="AP54" s="1273"/>
      <c r="AQ54" s="726" t="s">
        <v>408</v>
      </c>
      <c r="AS54" s="66"/>
      <c r="AT54" s="66" t="str">
        <f t="shared" si="2"/>
        <v>Группа потребителей</v>
      </c>
      <c r="AU54" s="66"/>
      <c r="AV54" s="66"/>
      <c r="AW54" s="10">
        <v>21</v>
      </c>
    </row>
    <row r="55" spans="1:49" ht="21.95" customHeight="1">
      <c r="A55" s="728" t="s">
        <v>172</v>
      </c>
      <c r="B55" s="728" t="s">
        <v>173</v>
      </c>
      <c r="C55" s="728" t="s">
        <v>174</v>
      </c>
      <c r="D55" s="728" t="s">
        <v>175</v>
      </c>
      <c r="E55" s="1310"/>
      <c r="F55" s="1310"/>
      <c r="G55" s="1310"/>
      <c r="H55" s="1310"/>
      <c r="I55" s="1128"/>
      <c r="J55" s="1128"/>
      <c r="K55" s="1146" t="str">
        <f>J54&amp;".1"</f>
        <v>....1.1.1</v>
      </c>
      <c r="L55" s="56"/>
      <c r="M55" s="751" t="s">
        <v>409</v>
      </c>
      <c r="Q55" s="1287"/>
      <c r="R55" s="1287"/>
      <c r="S55" s="65">
        <v>1</v>
      </c>
      <c r="T55" s="206"/>
      <c r="U55" s="706" t="str">
        <f>$K55</f>
        <v>....1.1.1</v>
      </c>
      <c r="V55" s="762"/>
      <c r="W55" s="168"/>
      <c r="X55" s="303"/>
      <c r="Y55" s="303"/>
      <c r="Z55" s="303"/>
      <c r="AA55" s="303"/>
      <c r="AB55" s="795"/>
      <c r="AC55" s="1288"/>
      <c r="AD55" s="1156" t="s">
        <v>64</v>
      </c>
      <c r="AE55" s="1288"/>
      <c r="AF55" s="1156" t="s">
        <v>64</v>
      </c>
      <c r="AG55" s="797"/>
      <c r="AH55" s="303"/>
      <c r="AI55" s="303"/>
      <c r="AJ55" s="303"/>
      <c r="AK55" s="725"/>
      <c r="AL55" s="1288"/>
      <c r="AM55" s="1156" t="s">
        <v>64</v>
      </c>
      <c r="AN55" s="1288"/>
      <c r="AO55" s="1156" t="s">
        <v>64</v>
      </c>
      <c r="AP55" s="763"/>
      <c r="AQ55" s="750" t="s">
        <v>449</v>
      </c>
      <c r="AR55" s="65" t="e">
        <f ca="1">STRCHECKDATE(X57:AP57)</f>
        <v>#NAME?</v>
      </c>
      <c r="AS55" s="66"/>
      <c r="AT55" s="66" t="str">
        <f t="shared" si="2"/>
        <v/>
      </c>
      <c r="AU55" s="66"/>
      <c r="AV55" s="66"/>
      <c r="AW55" s="10">
        <v>21</v>
      </c>
    </row>
    <row r="56" spans="1:49" ht="11.45" customHeight="1">
      <c r="A56" s="728" t="s">
        <v>172</v>
      </c>
      <c r="B56" s="728" t="s">
        <v>173</v>
      </c>
      <c r="C56" s="728" t="s">
        <v>174</v>
      </c>
      <c r="D56" s="728" t="s">
        <v>175</v>
      </c>
      <c r="E56" s="1310"/>
      <c r="F56" s="1310"/>
      <c r="G56" s="1310"/>
      <c r="H56" s="1310"/>
      <c r="I56" s="1128"/>
      <c r="J56" s="1128"/>
      <c r="K56" s="1128"/>
      <c r="L56" s="1146" t="str">
        <f>K55&amp;".1"</f>
        <v>....1.1.1.1</v>
      </c>
      <c r="M56" s="751"/>
      <c r="Q56" s="1287"/>
      <c r="R56" s="1287"/>
      <c r="S56" s="65">
        <v>1</v>
      </c>
      <c r="T56" s="206"/>
      <c r="U56" s="706" t="str">
        <f>$L56</f>
        <v>....1.1.1.1</v>
      </c>
      <c r="V56" s="784"/>
      <c r="W56" s="168"/>
      <c r="X56" s="188"/>
      <c r="Y56" s="303"/>
      <c r="Z56" s="303"/>
      <c r="AA56" s="303"/>
      <c r="AB56" s="795"/>
      <c r="AC56" s="1289"/>
      <c r="AD56" s="1156"/>
      <c r="AE56" s="1289"/>
      <c r="AF56" s="1156"/>
      <c r="AG56" s="797"/>
      <c r="AH56" s="303"/>
      <c r="AI56" s="303"/>
      <c r="AJ56" s="303"/>
      <c r="AK56" s="725"/>
      <c r="AL56" s="1289"/>
      <c r="AM56" s="1156"/>
      <c r="AN56" s="1289"/>
      <c r="AO56" s="1156"/>
      <c r="AP56" s="763"/>
      <c r="AQ56" s="1306" t="s">
        <v>450</v>
      </c>
      <c r="AR56" s="65" t="e">
        <f ca="1">STRCHECKDATE(X58:AP58)</f>
        <v>#NAME?</v>
      </c>
      <c r="AS56" s="66"/>
      <c r="AT56" s="66" t="str">
        <f t="shared" si="2"/>
        <v/>
      </c>
      <c r="AU56" s="66"/>
      <c r="AV56" s="66"/>
      <c r="AW56" s="10">
        <v>11</v>
      </c>
    </row>
    <row r="57" spans="1:49" ht="0" hidden="1" customHeight="1">
      <c r="A57" s="728" t="s">
        <v>172</v>
      </c>
      <c r="B57" s="728" t="s">
        <v>173</v>
      </c>
      <c r="C57" s="728" t="s">
        <v>174</v>
      </c>
      <c r="D57" s="728" t="s">
        <v>175</v>
      </c>
      <c r="E57" s="1310"/>
      <c r="F57" s="1310"/>
      <c r="G57" s="1310"/>
      <c r="H57" s="1310"/>
      <c r="I57" s="1128"/>
      <c r="J57" s="1128"/>
      <c r="K57" s="1128"/>
      <c r="L57" s="1146"/>
      <c r="M57" s="751"/>
      <c r="Q57" s="1287"/>
      <c r="R57" s="1287"/>
      <c r="S57" s="65"/>
      <c r="T57" s="206"/>
      <c r="U57" s="62"/>
      <c r="V57" s="168"/>
      <c r="W57" s="168"/>
      <c r="X57" s="188"/>
      <c r="Y57" s="188"/>
      <c r="Z57" s="188"/>
      <c r="AA57" s="188"/>
      <c r="AB57" s="796" t="str">
        <f>AC55&amp;"-"&amp;AE55</f>
        <v>-</v>
      </c>
      <c r="AC57" s="1289"/>
      <c r="AD57" s="1156"/>
      <c r="AE57" s="1289"/>
      <c r="AF57" s="1156"/>
      <c r="AG57" s="775"/>
      <c r="AH57" s="188"/>
      <c r="AI57" s="188"/>
      <c r="AJ57" s="188"/>
      <c r="AK57" s="189" t="str">
        <f>AL55&amp;"-"&amp;AN55</f>
        <v>-</v>
      </c>
      <c r="AL57" s="1289"/>
      <c r="AM57" s="1156"/>
      <c r="AN57" s="1289"/>
      <c r="AO57" s="1156"/>
      <c r="AP57" s="764"/>
      <c r="AQ57" s="1307"/>
      <c r="AS57" s="66"/>
      <c r="AT57" s="66" t="str">
        <f t="shared" si="2"/>
        <v/>
      </c>
      <c r="AU57" s="66"/>
      <c r="AV57" s="66"/>
      <c r="AW57" s="10">
        <v>0</v>
      </c>
    </row>
    <row r="58" spans="1:49" ht="11.45" customHeight="1">
      <c r="A58" s="728" t="s">
        <v>172</v>
      </c>
      <c r="B58" s="728" t="s">
        <v>173</v>
      </c>
      <c r="C58" s="728" t="s">
        <v>174</v>
      </c>
      <c r="D58" s="728" t="s">
        <v>175</v>
      </c>
      <c r="E58" s="1310"/>
      <c r="F58" s="1310"/>
      <c r="G58" s="1310"/>
      <c r="H58" s="1310"/>
      <c r="I58" s="1128"/>
      <c r="J58" s="1128"/>
      <c r="K58" s="1146"/>
      <c r="L58" s="728"/>
      <c r="M58" s="751"/>
      <c r="Q58" s="1287"/>
      <c r="R58" s="1287"/>
      <c r="S58" s="119"/>
      <c r="T58" s="205"/>
      <c r="U58" s="739"/>
      <c r="V58" s="164" t="s">
        <v>451</v>
      </c>
      <c r="W58" s="210"/>
      <c r="X58" s="210"/>
      <c r="Y58" s="210"/>
      <c r="Z58" s="210"/>
      <c r="AA58" s="210"/>
      <c r="AB58" s="210"/>
      <c r="AC58" s="1289"/>
      <c r="AD58" s="1156"/>
      <c r="AE58" s="1289"/>
      <c r="AF58" s="1156"/>
      <c r="AG58" s="210"/>
      <c r="AH58" s="210"/>
      <c r="AI58" s="210"/>
      <c r="AJ58" s="210"/>
      <c r="AK58" s="210"/>
      <c r="AL58" s="1289"/>
      <c r="AM58" s="1156"/>
      <c r="AN58" s="1289"/>
      <c r="AO58" s="1156"/>
      <c r="AP58" s="187"/>
      <c r="AQ58" s="1307"/>
      <c r="AS58" s="66"/>
      <c r="AT58" s="66" t="str">
        <f t="shared" si="2"/>
        <v>Добавить наименование поставщика</v>
      </c>
      <c r="AU58" s="66"/>
      <c r="AV58" s="66"/>
      <c r="AW58" s="10">
        <v>11</v>
      </c>
    </row>
    <row r="59" spans="1:49" ht="11.45" customHeight="1">
      <c r="A59" s="728" t="s">
        <v>172</v>
      </c>
      <c r="B59" s="728" t="s">
        <v>173</v>
      </c>
      <c r="C59" s="728" t="s">
        <v>174</v>
      </c>
      <c r="D59" s="728" t="s">
        <v>175</v>
      </c>
      <c r="E59" s="1310"/>
      <c r="F59" s="1310"/>
      <c r="G59" s="1310"/>
      <c r="H59" s="1310"/>
      <c r="I59" s="1128"/>
      <c r="J59" s="1146"/>
      <c r="K59" s="728"/>
      <c r="L59" s="728"/>
      <c r="M59" s="751"/>
      <c r="Q59" s="1287"/>
      <c r="R59" s="1287"/>
      <c r="S59" s="119"/>
      <c r="T59" s="205"/>
      <c r="U59" s="739"/>
      <c r="V59" s="163" t="s">
        <v>411</v>
      </c>
      <c r="W59" s="210"/>
      <c r="X59" s="210"/>
      <c r="Y59" s="210"/>
      <c r="Z59" s="210"/>
      <c r="AA59" s="210"/>
      <c r="AB59" s="210"/>
      <c r="AC59" s="798"/>
      <c r="AD59" s="798"/>
      <c r="AE59" s="798"/>
      <c r="AF59" s="798"/>
      <c r="AG59" s="210"/>
      <c r="AH59" s="210"/>
      <c r="AI59" s="210"/>
      <c r="AJ59" s="210"/>
      <c r="AK59" s="210"/>
      <c r="AL59" s="210"/>
      <c r="AM59" s="210"/>
      <c r="AN59" s="210"/>
      <c r="AO59" s="210"/>
      <c r="AP59" s="187"/>
      <c r="AQ59" s="1308"/>
      <c r="AS59" s="66"/>
      <c r="AT59" s="66" t="str">
        <f t="shared" si="2"/>
        <v>Добавить вид теплоносителя (параметры теплоносителя)</v>
      </c>
      <c r="AU59" s="66"/>
      <c r="AV59" s="66"/>
      <c r="AW59" s="10">
        <v>11</v>
      </c>
    </row>
    <row r="60" spans="1:49" ht="11.45" customHeight="1">
      <c r="A60" s="728" t="s">
        <v>172</v>
      </c>
      <c r="B60" s="728" t="s">
        <v>173</v>
      </c>
      <c r="C60" s="728" t="s">
        <v>174</v>
      </c>
      <c r="D60" s="728" t="s">
        <v>175</v>
      </c>
      <c r="E60" s="1310"/>
      <c r="F60" s="1310"/>
      <c r="G60" s="1310"/>
      <c r="H60" s="1310"/>
      <c r="I60" s="1146"/>
      <c r="J60" s="728"/>
      <c r="K60" s="728"/>
      <c r="L60" s="728"/>
      <c r="M60" s="751"/>
      <c r="Q60" s="1287"/>
      <c r="R60" s="119"/>
      <c r="S60" s="119"/>
      <c r="T60" s="205"/>
      <c r="U60" s="739"/>
      <c r="V60" s="208" t="s">
        <v>412</v>
      </c>
      <c r="W60" s="210"/>
      <c r="X60" s="210"/>
      <c r="Y60" s="210"/>
      <c r="Z60" s="210"/>
      <c r="AA60" s="210"/>
      <c r="AB60" s="210"/>
      <c r="AC60" s="210"/>
      <c r="AD60" s="210"/>
      <c r="AE60" s="210"/>
      <c r="AF60" s="209"/>
      <c r="AG60" s="210"/>
      <c r="AH60" s="210"/>
      <c r="AI60" s="210"/>
      <c r="AJ60" s="210"/>
      <c r="AK60" s="210"/>
      <c r="AL60" s="210"/>
      <c r="AM60" s="210"/>
      <c r="AN60" s="210"/>
      <c r="AO60" s="209"/>
      <c r="AP60" s="210"/>
      <c r="AQ60" s="171"/>
      <c r="AS60" s="66"/>
      <c r="AT60" s="66" t="str">
        <f t="shared" si="2"/>
        <v>Добавить группу потребителей</v>
      </c>
      <c r="AU60" s="66"/>
      <c r="AV60" s="66"/>
      <c r="AW60" s="10">
        <v>11</v>
      </c>
    </row>
    <row r="61" spans="1:49" ht="0" hidden="1" customHeight="1">
      <c r="A61" s="728" t="s">
        <v>172</v>
      </c>
      <c r="B61" s="728" t="s">
        <v>173</v>
      </c>
      <c r="C61" s="728" t="s">
        <v>174</v>
      </c>
      <c r="D61" s="728" t="s">
        <v>175</v>
      </c>
      <c r="E61" s="1310"/>
      <c r="F61" s="1310"/>
      <c r="G61" s="1310"/>
      <c r="H61" s="1309"/>
      <c r="I61" s="728"/>
      <c r="J61" s="728"/>
      <c r="K61" s="728"/>
      <c r="L61" s="728"/>
      <c r="M61" s="751"/>
      <c r="N61" s="339"/>
      <c r="O61" s="339"/>
      <c r="P61" s="10"/>
      <c r="Q61" s="33"/>
      <c r="R61" s="213"/>
      <c r="S61" s="204"/>
      <c r="T61" s="33"/>
      <c r="U61" s="779"/>
      <c r="V61" s="780"/>
      <c r="W61" s="781"/>
      <c r="X61" s="781"/>
      <c r="Y61" s="781"/>
      <c r="Z61" s="781"/>
      <c r="AA61" s="781"/>
      <c r="AB61" s="781"/>
      <c r="AC61" s="781"/>
      <c r="AD61" s="781"/>
      <c r="AE61" s="781"/>
      <c r="AF61" s="781"/>
      <c r="AG61" s="781"/>
      <c r="AH61" s="781"/>
      <c r="AI61" s="781"/>
      <c r="AJ61" s="781"/>
      <c r="AK61" s="781"/>
      <c r="AL61" s="781"/>
      <c r="AM61" s="781"/>
      <c r="AN61" s="781"/>
      <c r="AO61" s="781"/>
      <c r="AP61" s="781"/>
      <c r="AQ61" s="782"/>
      <c r="AS61" s="66"/>
      <c r="AT61" s="66" t="str">
        <f t="shared" si="2"/>
        <v/>
      </c>
      <c r="AU61" s="66"/>
      <c r="AV61" s="66"/>
      <c r="AW61" s="10">
        <v>0</v>
      </c>
    </row>
    <row r="62" spans="1:49" s="65" customFormat="1" ht="0" hidden="1" customHeight="1">
      <c r="A62" s="771" t="s">
        <v>172</v>
      </c>
      <c r="B62" s="771" t="s">
        <v>173</v>
      </c>
      <c r="C62" s="771" t="s">
        <v>174</v>
      </c>
      <c r="D62" s="771"/>
      <c r="E62" s="1310"/>
      <c r="F62" s="1310"/>
      <c r="G62" s="1309"/>
      <c r="H62" s="771"/>
      <c r="I62" s="771"/>
      <c r="J62" s="771"/>
      <c r="K62" s="771"/>
      <c r="L62" s="771"/>
      <c r="M62" s="772"/>
      <c r="N62" s="773"/>
      <c r="O62" s="773"/>
      <c r="P62" s="200"/>
      <c r="Q62" s="101"/>
      <c r="R62" s="752"/>
      <c r="S62" s="101"/>
      <c r="T62" s="101"/>
      <c r="U62" s="757"/>
      <c r="V62" s="759" t="s">
        <v>414</v>
      </c>
      <c r="W62" s="310"/>
      <c r="X62" s="310"/>
      <c r="Y62" s="310"/>
      <c r="Z62" s="310"/>
      <c r="AA62" s="310"/>
      <c r="AB62" s="310"/>
      <c r="AC62" s="310"/>
      <c r="AD62" s="310"/>
      <c r="AE62" s="310"/>
      <c r="AF62" s="310"/>
      <c r="AG62" s="310"/>
      <c r="AH62" s="310"/>
      <c r="AI62" s="310"/>
      <c r="AJ62" s="310"/>
      <c r="AK62" s="310"/>
      <c r="AL62" s="310"/>
      <c r="AM62" s="310"/>
      <c r="AN62" s="310"/>
      <c r="AO62" s="310"/>
      <c r="AP62" s="310"/>
      <c r="AQ62" s="310"/>
      <c r="AS62" s="66"/>
      <c r="AT62" s="66" t="str">
        <f t="shared" si="2"/>
        <v>Добавить источник для дифференциации</v>
      </c>
      <c r="AU62" s="66"/>
      <c r="AV62" s="66"/>
      <c r="AW62" s="65">
        <v>0</v>
      </c>
    </row>
    <row r="63" spans="1:49" s="65" customFormat="1" ht="0" hidden="1" customHeight="1">
      <c r="A63" s="771" t="s">
        <v>172</v>
      </c>
      <c r="B63" s="771" t="s">
        <v>173</v>
      </c>
      <c r="C63" s="771"/>
      <c r="D63" s="771"/>
      <c r="E63" s="1310"/>
      <c r="F63" s="1309"/>
      <c r="G63" s="771"/>
      <c r="H63" s="771"/>
      <c r="I63" s="771"/>
      <c r="J63" s="771"/>
      <c r="K63" s="771"/>
      <c r="L63" s="771"/>
      <c r="M63" s="772"/>
      <c r="N63" s="774"/>
      <c r="O63" s="774"/>
      <c r="P63" s="200"/>
      <c r="Q63" s="101"/>
      <c r="R63" s="752"/>
      <c r="S63" s="101"/>
      <c r="T63" s="101"/>
      <c r="U63" s="757"/>
      <c r="V63" s="759" t="s">
        <v>231</v>
      </c>
      <c r="W63" s="310"/>
      <c r="X63" s="310"/>
      <c r="Y63" s="310"/>
      <c r="Z63" s="310"/>
      <c r="AA63" s="310"/>
      <c r="AB63" s="310"/>
      <c r="AC63" s="310"/>
      <c r="AD63" s="310"/>
      <c r="AE63" s="310"/>
      <c r="AF63" s="310"/>
      <c r="AG63" s="310"/>
      <c r="AH63" s="310"/>
      <c r="AI63" s="310"/>
      <c r="AJ63" s="310"/>
      <c r="AK63" s="310"/>
      <c r="AL63" s="310"/>
      <c r="AM63" s="310"/>
      <c r="AN63" s="310"/>
      <c r="AO63" s="310"/>
      <c r="AP63" s="310"/>
      <c r="AQ63" s="310"/>
      <c r="AS63" s="66"/>
      <c r="AT63" s="66" t="str">
        <f t="shared" si="2"/>
        <v>Добавить централизованную систему для дифференциации</v>
      </c>
      <c r="AU63" s="66"/>
      <c r="AV63" s="66"/>
      <c r="AW63" s="65">
        <v>0</v>
      </c>
    </row>
    <row r="64" spans="1:49" s="65" customFormat="1" ht="0" hidden="1" customHeight="1">
      <c r="A64" s="771" t="s">
        <v>172</v>
      </c>
      <c r="B64" s="771"/>
      <c r="C64" s="771"/>
      <c r="D64" s="771"/>
      <c r="E64" s="1309"/>
      <c r="F64" s="771"/>
      <c r="G64" s="771"/>
      <c r="H64" s="771"/>
      <c r="I64" s="771"/>
      <c r="J64" s="771"/>
      <c r="K64" s="771"/>
      <c r="L64" s="771"/>
      <c r="M64" s="772"/>
      <c r="N64" s="774"/>
      <c r="O64" s="774"/>
      <c r="P64" s="200"/>
      <c r="Q64" s="101"/>
      <c r="R64" s="752"/>
      <c r="S64" s="101"/>
      <c r="T64" s="101"/>
      <c r="U64" s="757"/>
      <c r="V64" s="759" t="s">
        <v>232</v>
      </c>
      <c r="W64" s="310"/>
      <c r="X64" s="310"/>
      <c r="Y64" s="310"/>
      <c r="Z64" s="310"/>
      <c r="AA64" s="310"/>
      <c r="AB64" s="310"/>
      <c r="AC64" s="310"/>
      <c r="AD64" s="310"/>
      <c r="AE64" s="310"/>
      <c r="AF64" s="310"/>
      <c r="AG64" s="310"/>
      <c r="AH64" s="310"/>
      <c r="AI64" s="310"/>
      <c r="AJ64" s="310"/>
      <c r="AK64" s="310"/>
      <c r="AL64" s="310"/>
      <c r="AM64" s="310"/>
      <c r="AN64" s="310"/>
      <c r="AO64" s="310"/>
      <c r="AP64" s="310"/>
      <c r="AQ64" s="310"/>
      <c r="AS64" s="66"/>
      <c r="AT64" s="66" t="str">
        <f t="shared" si="2"/>
        <v>Добавить территорию для дифференциации</v>
      </c>
      <c r="AU64" s="66"/>
      <c r="AV64" s="66"/>
      <c r="AW64" s="65">
        <v>0</v>
      </c>
    </row>
    <row r="65" spans="1:49" s="65" customFormat="1" ht="4.1500000000000004" customHeight="1">
      <c r="A65" s="771"/>
      <c r="B65" s="771"/>
      <c r="C65" s="771"/>
      <c r="D65" s="771"/>
      <c r="E65" s="771"/>
      <c r="F65" s="771"/>
      <c r="G65" s="771"/>
      <c r="H65" s="771"/>
      <c r="I65" s="771"/>
      <c r="J65" s="771"/>
      <c r="K65" s="771"/>
      <c r="L65" s="771"/>
      <c r="M65" s="772"/>
      <c r="N65" s="774"/>
      <c r="O65" s="774"/>
      <c r="P65" s="200"/>
      <c r="Q65" s="101"/>
      <c r="R65" s="752"/>
      <c r="S65" s="101"/>
      <c r="T65" s="101"/>
      <c r="U65" s="757"/>
      <c r="V65" s="759" t="s">
        <v>233</v>
      </c>
      <c r="W65" s="310"/>
      <c r="X65" s="310"/>
      <c r="Y65" s="310"/>
      <c r="Z65" s="310"/>
      <c r="AA65" s="310"/>
      <c r="AB65" s="310"/>
      <c r="AC65" s="310"/>
      <c r="AD65" s="310"/>
      <c r="AE65" s="310"/>
      <c r="AF65" s="310"/>
      <c r="AG65" s="310"/>
      <c r="AH65" s="310"/>
      <c r="AI65" s="310"/>
      <c r="AJ65" s="310"/>
      <c r="AK65" s="310"/>
      <c r="AL65" s="310"/>
      <c r="AM65" s="310"/>
      <c r="AN65" s="310"/>
      <c r="AO65" s="310"/>
      <c r="AP65" s="310"/>
      <c r="AQ65" s="310"/>
      <c r="AS65" s="66"/>
      <c r="AT65" s="66" t="str">
        <f t="shared" si="2"/>
        <v>Добавить наименование тарифа</v>
      </c>
      <c r="AU65" s="66"/>
      <c r="AV65" s="66"/>
      <c r="AW65" s="65">
        <v>4</v>
      </c>
    </row>
    <row r="66" spans="1:49" ht="11.45" customHeight="1">
      <c r="N66" s="10"/>
      <c r="O66" s="10"/>
      <c r="P66" s="10"/>
      <c r="Q66" s="10"/>
      <c r="R66" s="10"/>
      <c r="S66" s="10"/>
      <c r="T66" s="10"/>
      <c r="U66" s="10"/>
      <c r="AR66" s="10"/>
      <c r="AS66" s="10"/>
      <c r="AT66" s="10"/>
      <c r="AU66" s="10"/>
      <c r="AV66" s="10"/>
      <c r="AW66" s="10">
        <v>11</v>
      </c>
    </row>
    <row r="67" spans="1:49" ht="35.65" customHeight="1">
      <c r="P67" s="10"/>
      <c r="U67" s="195"/>
      <c r="V67" s="1282"/>
      <c r="W67" s="1282"/>
      <c r="X67" s="1282"/>
      <c r="Y67" s="1282"/>
      <c r="Z67" s="1282"/>
      <c r="AA67" s="1282"/>
      <c r="AB67" s="1282"/>
      <c r="AC67" s="1282"/>
      <c r="AD67" s="1282"/>
      <c r="AE67" s="1282"/>
      <c r="AF67" s="1282"/>
      <c r="AG67" s="1282"/>
      <c r="AH67" s="1282"/>
      <c r="AI67" s="1282"/>
      <c r="AJ67" s="1282"/>
      <c r="AK67" s="1282"/>
      <c r="AL67" s="1282"/>
      <c r="AM67" s="1282"/>
      <c r="AN67" s="1282"/>
      <c r="AO67" s="1282"/>
      <c r="AP67" s="1282"/>
      <c r="AQ67" s="1282"/>
      <c r="AW67" s="10">
        <v>34</v>
      </c>
    </row>
    <row r="68" spans="1:49" ht="21" customHeight="1">
      <c r="P68" s="10"/>
      <c r="V68" s="1282"/>
      <c r="W68" s="1282"/>
      <c r="X68" s="1282"/>
      <c r="Y68" s="1282"/>
      <c r="Z68" s="1282"/>
      <c r="AA68" s="1282"/>
      <c r="AB68" s="1282"/>
      <c r="AC68" s="1282"/>
      <c r="AD68" s="1282"/>
      <c r="AE68" s="1282"/>
      <c r="AF68" s="1282"/>
      <c r="AG68" s="1282"/>
      <c r="AH68" s="1282"/>
      <c r="AI68" s="1282"/>
      <c r="AJ68" s="1282"/>
      <c r="AK68" s="1282"/>
      <c r="AL68" s="1282"/>
      <c r="AM68" s="1282"/>
      <c r="AN68" s="1282"/>
      <c r="AO68" s="1282"/>
      <c r="AP68" s="1282"/>
      <c r="AQ68" s="1282"/>
      <c r="AW68" s="10">
        <v>20</v>
      </c>
    </row>
    <row r="69" spans="1:49" ht="14.65" customHeight="1">
      <c r="P69" s="10"/>
      <c r="AW69" s="10">
        <v>14</v>
      </c>
    </row>
    <row r="70" spans="1:49" ht="28.5" customHeight="1">
      <c r="P70" s="10"/>
      <c r="V70" s="1282"/>
      <c r="W70" s="1282"/>
      <c r="X70" s="1282"/>
      <c r="Y70" s="1282"/>
      <c r="Z70" s="1282"/>
      <c r="AA70" s="1282"/>
      <c r="AB70" s="1282"/>
      <c r="AC70" s="1282"/>
      <c r="AD70" s="1282"/>
      <c r="AE70" s="1282"/>
      <c r="AF70" s="1282"/>
      <c r="AG70" s="1282"/>
      <c r="AH70" s="1282"/>
      <c r="AI70" s="1282"/>
      <c r="AJ70" s="1282"/>
      <c r="AK70" s="1282"/>
      <c r="AL70" s="1282"/>
      <c r="AM70" s="1282"/>
      <c r="AN70" s="1282"/>
      <c r="AO70" s="1282"/>
      <c r="AP70" s="1282"/>
      <c r="AQ70" s="1282"/>
      <c r="AW70" s="10">
        <v>27</v>
      </c>
    </row>
    <row r="71" spans="1:49" ht="18.75" customHeight="1">
      <c r="P71" s="10"/>
      <c r="V71" s="1282"/>
      <c r="W71" s="1282"/>
      <c r="X71" s="1282"/>
      <c r="Y71" s="1282"/>
      <c r="Z71" s="1282"/>
      <c r="AA71" s="1282"/>
      <c r="AB71" s="1282"/>
      <c r="AC71" s="1282"/>
      <c r="AD71" s="1282"/>
      <c r="AE71" s="1282"/>
      <c r="AF71" s="1282"/>
      <c r="AG71" s="1282"/>
      <c r="AH71" s="1282"/>
      <c r="AI71" s="1282"/>
      <c r="AJ71" s="1282"/>
      <c r="AK71" s="1282"/>
      <c r="AL71" s="1282"/>
      <c r="AM71" s="1282"/>
      <c r="AN71" s="1282"/>
      <c r="AO71" s="1282"/>
      <c r="AP71" s="1282"/>
      <c r="AQ71" s="1282"/>
      <c r="AW71" s="10">
        <v>18</v>
      </c>
    </row>
    <row r="72" spans="1:49" ht="22.5" hidden="1" customHeight="1">
      <c r="A72" s="10" t="s">
        <v>80</v>
      </c>
      <c r="B72" s="10">
        <v>0</v>
      </c>
      <c r="C72" s="10">
        <v>0</v>
      </c>
      <c r="D72" s="10">
        <v>0</v>
      </c>
      <c r="E72" s="10">
        <v>0</v>
      </c>
      <c r="F72" s="10">
        <v>0</v>
      </c>
      <c r="G72" s="10">
        <v>0</v>
      </c>
      <c r="H72" s="10">
        <v>0</v>
      </c>
      <c r="I72" s="10">
        <v>0</v>
      </c>
      <c r="J72" s="10">
        <v>0</v>
      </c>
      <c r="K72" s="10">
        <v>0</v>
      </c>
      <c r="L72" s="10">
        <v>0</v>
      </c>
      <c r="M72" s="56">
        <v>0</v>
      </c>
      <c r="N72" s="32">
        <v>0</v>
      </c>
      <c r="O72" s="32">
        <v>0</v>
      </c>
      <c r="P72" s="32">
        <v>0</v>
      </c>
      <c r="Q72" s="32">
        <v>0</v>
      </c>
      <c r="R72" s="28">
        <v>3</v>
      </c>
      <c r="S72" s="28">
        <v>3</v>
      </c>
      <c r="T72" s="28">
        <v>3</v>
      </c>
      <c r="U72" s="339">
        <v>12</v>
      </c>
      <c r="V72" s="10">
        <v>31</v>
      </c>
      <c r="W72" s="10">
        <v>0</v>
      </c>
      <c r="X72" s="10">
        <v>0</v>
      </c>
      <c r="Y72" s="10">
        <v>0</v>
      </c>
      <c r="Z72" s="10">
        <v>0</v>
      </c>
      <c r="AA72" s="10">
        <v>0</v>
      </c>
      <c r="AB72" s="10">
        <v>0</v>
      </c>
      <c r="AC72" s="10">
        <v>0</v>
      </c>
      <c r="AD72" s="10">
        <v>0</v>
      </c>
      <c r="AE72" s="10">
        <v>0</v>
      </c>
      <c r="AF72" s="10">
        <v>0</v>
      </c>
      <c r="AG72" s="10">
        <v>21</v>
      </c>
      <c r="AH72" s="10">
        <v>21</v>
      </c>
      <c r="AI72" s="10">
        <v>21</v>
      </c>
      <c r="AJ72" s="10">
        <v>21</v>
      </c>
      <c r="AK72" s="10">
        <v>21</v>
      </c>
      <c r="AL72" s="10">
        <v>11</v>
      </c>
      <c r="AM72" s="10">
        <v>3</v>
      </c>
      <c r="AN72" s="10">
        <v>11</v>
      </c>
      <c r="AO72" s="10">
        <v>8</v>
      </c>
      <c r="AP72" s="10">
        <v>4</v>
      </c>
      <c r="AQ72" s="10">
        <v>115</v>
      </c>
      <c r="AR72" s="65">
        <v>10</v>
      </c>
      <c r="AS72" s="65">
        <v>10</v>
      </c>
      <c r="AT72" s="65">
        <v>10</v>
      </c>
      <c r="AU72" s="65">
        <v>10</v>
      </c>
      <c r="AV72" s="65">
        <v>10</v>
      </c>
      <c r="AW72" s="1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22" sqref="I22"/>
    </sheetView>
  </sheetViews>
  <sheetFormatPr defaultColWidth="9.140625" defaultRowHeight="11.25" customHeight="1"/>
  <cols>
    <col min="1" max="1" width="10.7109375" style="445" hidden="1" customWidth="1"/>
    <col min="2" max="2" width="10.7109375" style="29" hidden="1" customWidth="1"/>
    <col min="3" max="3" width="3" style="8" customWidth="1"/>
    <col min="4" max="4" width="1" style="10" customWidth="1"/>
    <col min="5" max="6" width="55" style="10" customWidth="1"/>
    <col min="7" max="7" width="1" style="56" customWidth="1"/>
    <col min="8" max="8" width="18" style="10" hidden="1" customWidth="1"/>
    <col min="9" max="9" width="59" style="231" customWidth="1"/>
    <col min="10" max="10" width="52.140625" style="60" hidden="1" customWidth="1"/>
    <col min="11" max="11" width="8" style="10" customWidth="1"/>
    <col min="12" max="12" width="77" style="10" customWidth="1"/>
    <col min="13" max="16" width="8" style="10" customWidth="1"/>
    <col min="17" max="17" width="12" style="10" hidden="1" customWidth="1"/>
  </cols>
  <sheetData>
    <row r="1" spans="1:17" s="139" customFormat="1" ht="3" customHeight="1">
      <c r="A1" s="445"/>
      <c r="B1" s="138"/>
      <c r="F1" s="139" t="s">
        <v>13</v>
      </c>
      <c r="G1" s="231"/>
      <c r="H1" s="7"/>
      <c r="I1" s="231"/>
      <c r="J1" s="65"/>
      <c r="Q1" s="139" t="s">
        <v>14</v>
      </c>
    </row>
    <row r="2" spans="1:17" s="7" customFormat="1" ht="14.25" customHeight="1">
      <c r="A2" s="445"/>
      <c r="B2" s="29"/>
      <c r="E2" s="948" t="str">
        <f>code</f>
        <v>Код отчёта: PP108.OPEN.INFO.REQUEST.COLDVSNA.EIAS</v>
      </c>
      <c r="F2" s="156"/>
      <c r="G2" s="32"/>
      <c r="H2" s="32"/>
      <c r="I2" s="32"/>
      <c r="J2" s="503"/>
      <c r="K2" s="32"/>
      <c r="Q2" s="7">
        <v>14</v>
      </c>
    </row>
    <row r="3" spans="1:17" ht="14.65" customHeight="1">
      <c r="E3" s="141" t="str">
        <f>version</f>
        <v>Версия отчёта: 1.1.1</v>
      </c>
      <c r="F3" s="156"/>
      <c r="G3"/>
      <c r="H3"/>
      <c r="I3"/>
      <c r="J3" s="59"/>
      <c r="K3"/>
      <c r="Q3" s="10">
        <v>14</v>
      </c>
    </row>
    <row r="4" spans="1:17" s="133" customFormat="1" ht="6.4" customHeight="1">
      <c r="A4" s="445"/>
      <c r="B4" s="129"/>
      <c r="C4" s="130"/>
      <c r="D4" s="131"/>
      <c r="F4" s="140"/>
      <c r="G4" s="56"/>
      <c r="H4" s="10"/>
      <c r="I4" s="231"/>
      <c r="J4" s="401"/>
      <c r="Q4" s="133">
        <v>6</v>
      </c>
    </row>
    <row r="5" spans="1:17" ht="39.75" customHeight="1">
      <c r="D5" s="11"/>
      <c r="E5" s="1127" t="str">
        <f>NameTemplatesInTitle</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1128"/>
      <c r="G5" s="438"/>
      <c r="J5" s="504"/>
      <c r="Q5" s="10">
        <v>38</v>
      </c>
    </row>
    <row r="6" spans="1:17" s="133" customFormat="1" ht="6.4" customHeight="1">
      <c r="A6" s="445"/>
      <c r="B6" s="129"/>
      <c r="C6" s="130"/>
      <c r="D6" s="131"/>
      <c r="E6" s="134"/>
      <c r="F6" s="135"/>
      <c r="G6" s="438"/>
      <c r="H6" s="10"/>
      <c r="I6" s="231"/>
      <c r="J6" s="401"/>
      <c r="Q6" s="133">
        <v>6</v>
      </c>
    </row>
    <row r="7" spans="1:17" ht="21" customHeight="1">
      <c r="D7" s="11"/>
      <c r="E7" s="219" t="s">
        <v>15</v>
      </c>
      <c r="F7" s="115" t="s">
        <v>16</v>
      </c>
      <c r="G7" s="438"/>
      <c r="Q7" s="10">
        <v>20</v>
      </c>
    </row>
    <row r="8" spans="1:17" s="133" customFormat="1" ht="6.4" customHeight="1">
      <c r="A8" s="446"/>
      <c r="B8" s="129"/>
      <c r="C8" s="130"/>
      <c r="D8" s="136"/>
      <c r="E8" s="134"/>
      <c r="F8" s="137"/>
      <c r="G8" s="13"/>
      <c r="H8" s="10"/>
      <c r="I8" s="231"/>
      <c r="J8" s="505"/>
      <c r="Q8" s="133">
        <v>6</v>
      </c>
    </row>
    <row r="9" spans="1:17" s="10" customFormat="1" ht="19.5" hidden="1" customHeight="1">
      <c r="A9" s="445"/>
      <c r="B9" s="29"/>
      <c r="C9" s="8"/>
      <c r="D9" s="11"/>
      <c r="E9" s="219" t="s">
        <v>17</v>
      </c>
      <c r="F9" s="1036"/>
      <c r="G9" s="438"/>
      <c r="I9" s="339" t="str">
        <f>IF(TITLE_STRUCTURE_INFO_ROIV="","","раскрывается "&amp;INDEX(ROIV_INFO_COMMENT,MATCH(TITLE_STRUCTURE_INFO_ROIV,ROIV_INFO_LIST,0)))</f>
        <v/>
      </c>
      <c r="J9" s="60"/>
      <c r="Q9" s="10">
        <v>0</v>
      </c>
    </row>
    <row r="10" spans="1:17" s="133" customFormat="1" ht="24" hidden="1" customHeight="1">
      <c r="A10" s="446"/>
      <c r="B10" s="129"/>
      <c r="C10" s="130"/>
      <c r="D10" s="136"/>
      <c r="E10" s="219" t="s">
        <v>18</v>
      </c>
      <c r="F10" s="405" t="s">
        <v>19</v>
      </c>
      <c r="G10" s="13"/>
      <c r="H10" s="10"/>
      <c r="I10" s="231"/>
      <c r="J10" s="505"/>
      <c r="Q10" s="133">
        <v>24</v>
      </c>
    </row>
    <row r="11" spans="1:17" ht="22.5" customHeight="1">
      <c r="A11" s="1130" t="s">
        <v>20</v>
      </c>
      <c r="D11" s="11"/>
      <c r="E11" s="219" t="s">
        <v>21</v>
      </c>
      <c r="F11" s="940">
        <v>46023</v>
      </c>
      <c r="G11" s="13"/>
      <c r="H11" s="439" t="s">
        <v>22</v>
      </c>
      <c r="J11" s="60" t="s">
        <v>23</v>
      </c>
      <c r="Q11" s="10">
        <v>0</v>
      </c>
    </row>
    <row r="12" spans="1:17" ht="22.5" customHeight="1">
      <c r="A12" s="1130"/>
      <c r="D12" s="11"/>
      <c r="E12" s="219" t="s">
        <v>24</v>
      </c>
      <c r="F12" s="940">
        <v>47483</v>
      </c>
      <c r="G12" s="9"/>
      <c r="J12" s="60" t="s">
        <v>25</v>
      </c>
      <c r="Q12" s="10">
        <v>0</v>
      </c>
    </row>
    <row r="13" spans="1:17" s="10" customFormat="1" ht="22.5" hidden="1" customHeight="1">
      <c r="A13" s="448" t="s">
        <v>26</v>
      </c>
      <c r="B13" s="29"/>
      <c r="C13" s="8"/>
      <c r="D13" s="11"/>
      <c r="E13" s="975" t="s">
        <v>27</v>
      </c>
      <c r="F13" s="940" t="s">
        <v>28</v>
      </c>
      <c r="G13" s="13"/>
      <c r="H13"/>
      <c r="I13" s="231"/>
      <c r="J13" s="503" t="s">
        <v>29</v>
      </c>
      <c r="Q13" s="10">
        <v>0</v>
      </c>
    </row>
    <row r="14" spans="1:17" s="10" customFormat="1" ht="27" hidden="1" customHeight="1">
      <c r="A14" s="448" t="s">
        <v>30</v>
      </c>
      <c r="B14" s="29"/>
      <c r="C14" s="8"/>
      <c r="D14" s="11"/>
      <c r="E14" s="219" t="s">
        <v>31</v>
      </c>
      <c r="F14" s="103"/>
      <c r="G14" s="13"/>
      <c r="H14"/>
      <c r="I14" s="231"/>
      <c r="J14" s="60" t="s">
        <v>32</v>
      </c>
      <c r="Q14" s="10">
        <v>0</v>
      </c>
    </row>
    <row r="15" spans="1:17" s="10" customFormat="1" ht="19.5" hidden="1" customHeight="1">
      <c r="A15" s="448" t="s">
        <v>33</v>
      </c>
      <c r="B15" s="29"/>
      <c r="C15" s="8"/>
      <c r="D15" s="11"/>
      <c r="E15" s="219" t="s">
        <v>34</v>
      </c>
      <c r="F15" s="103"/>
      <c r="G15" s="13"/>
      <c r="H15"/>
      <c r="I15" s="231"/>
      <c r="J15" s="60" t="s">
        <v>35</v>
      </c>
      <c r="Q15" s="10">
        <v>0</v>
      </c>
    </row>
    <row r="16" spans="1:17" s="133" customFormat="1" ht="6.4" customHeight="1">
      <c r="A16" s="446"/>
      <c r="B16" s="129"/>
      <c r="C16" s="130"/>
      <c r="D16" s="136"/>
      <c r="E16" s="134"/>
      <c r="F16" s="137"/>
      <c r="G16" s="13"/>
      <c r="H16" s="10"/>
      <c r="I16" s="231"/>
      <c r="J16" s="401"/>
      <c r="Q16" s="133">
        <v>6</v>
      </c>
    </row>
    <row r="17" spans="1:17" ht="21" customHeight="1">
      <c r="D17" s="11"/>
      <c r="E17" s="219" t="s">
        <v>36</v>
      </c>
      <c r="F17" s="116" t="s">
        <v>37</v>
      </c>
      <c r="G17" s="9"/>
      <c r="H17" s="439" t="s">
        <v>22</v>
      </c>
      <c r="Q17" s="10">
        <v>20</v>
      </c>
    </row>
    <row r="18" spans="1:17" ht="25.5" hidden="1" customHeight="1">
      <c r="D18" s="11"/>
      <c r="E18" s="975" t="s">
        <v>38</v>
      </c>
      <c r="F18" s="941"/>
      <c r="G18" s="9"/>
      <c r="I18" s="440"/>
      <c r="J18" s="1129" t="s">
        <v>39</v>
      </c>
      <c r="Q18" s="10">
        <v>0</v>
      </c>
    </row>
    <row r="19" spans="1:17" ht="25.5" hidden="1" customHeight="1">
      <c r="D19" s="11"/>
      <c r="E19" s="21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1"/>
      <c r="G19" s="9"/>
      <c r="I19" s="440"/>
      <c r="J19" s="1129"/>
      <c r="Q19" s="10">
        <v>0</v>
      </c>
    </row>
    <row r="20" spans="1:17" ht="22.5" customHeight="1">
      <c r="D20" s="11"/>
      <c r="E20" s="12"/>
      <c r="F20" s="56" t="str">
        <f>"Первичное "&amp;IF(TEMPLATE_GROUP="P","установление тарифов","предложение по тарифам")</f>
        <v>Первичное предложение по тарифам</v>
      </c>
      <c r="G20" s="9"/>
      <c r="I20" s="13"/>
      <c r="J20" s="504" t="s">
        <v>40</v>
      </c>
      <c r="Q20" s="10">
        <v>0</v>
      </c>
    </row>
    <row r="21" spans="1:17" ht="19.5" customHeight="1">
      <c r="D21" s="11"/>
      <c r="E21" s="219" t="str">
        <f>"Дата "&amp;IF(TEMPLATE_GROUP="P","документа","подачи заявления")&amp;" об утверждении тарифов"</f>
        <v>Дата подачи заявления об утверждении тарифов</v>
      </c>
      <c r="F21" s="940">
        <v>45805</v>
      </c>
      <c r="G21" s="9"/>
      <c r="I21" s="441"/>
      <c r="Q21" s="10">
        <v>0</v>
      </c>
    </row>
    <row r="22" spans="1:17" ht="19.5" customHeight="1">
      <c r="D22" s="11"/>
      <c r="E22" s="219" t="str">
        <f>"Номер "&amp;IF(TEMPLATE_GROUP="P","документа","подачи заявления")&amp;" об утверждении тарифов"</f>
        <v>Номер подачи заявления об утверждении тарифов</v>
      </c>
      <c r="F22" s="116" t="s">
        <v>5457</v>
      </c>
      <c r="G22" s="9"/>
      <c r="I22" s="441"/>
      <c r="Q22" s="10">
        <v>0</v>
      </c>
    </row>
    <row r="23" spans="1:17" ht="22.5" hidden="1" customHeight="1">
      <c r="D23" s="11"/>
      <c r="E23" s="219" t="s">
        <v>41</v>
      </c>
      <c r="F23" s="116"/>
      <c r="G23" s="9"/>
      <c r="Q23" s="10">
        <v>0</v>
      </c>
    </row>
    <row r="24" spans="1:17" ht="19.5" hidden="1" customHeight="1">
      <c r="D24" s="11"/>
      <c r="E24" s="219" t="s">
        <v>42</v>
      </c>
      <c r="F24" s="116"/>
      <c r="G24" s="9"/>
      <c r="Q24" s="10">
        <v>0</v>
      </c>
    </row>
    <row r="25" spans="1:17" ht="22.5" hidden="1" customHeight="1">
      <c r="D25" s="11"/>
      <c r="E25" s="12"/>
      <c r="F25" s="56" t="str">
        <f>"Изменение "&amp;IF(TEMPLATE_GROUP="P","тарифов","предложения по тарифам")</f>
        <v>Изменение предложения по тарифам</v>
      </c>
      <c r="G25" s="9"/>
      <c r="J25" s="504" t="s">
        <v>43</v>
      </c>
      <c r="Q25" s="10">
        <v>0</v>
      </c>
    </row>
    <row r="26" spans="1:17" ht="19.5" hidden="1" customHeight="1">
      <c r="D26" s="11"/>
      <c r="E26" s="219" t="str">
        <f>"Дата "&amp;IF(TEMPLATE_GROUP="P","принятия решения","подачи заявления")&amp;" об изменении тарифов"</f>
        <v>Дата подачи заявления об изменении тарифов</v>
      </c>
      <c r="F26" s="941"/>
      <c r="G26" s="9"/>
      <c r="Q26" s="10">
        <v>0</v>
      </c>
    </row>
    <row r="27" spans="1:17" ht="19.5" hidden="1" customHeight="1">
      <c r="D27" s="11"/>
      <c r="E27" s="219" t="str">
        <f>"Номер "&amp;IF(TEMPLATE_GROUP="P","принятия решения","заявления")&amp;" об изменении тарифов"</f>
        <v>Номер заявления об изменении тарифов</v>
      </c>
      <c r="F27" s="118"/>
      <c r="G27" s="9"/>
      <c r="Q27" s="10">
        <v>0</v>
      </c>
    </row>
    <row r="28" spans="1:17" ht="24.75" hidden="1" customHeight="1">
      <c r="D28" s="11"/>
      <c r="E28" s="219" t="s">
        <v>44</v>
      </c>
      <c r="F28" s="118"/>
      <c r="G28" s="9"/>
      <c r="Q28" s="10">
        <v>0</v>
      </c>
    </row>
    <row r="29" spans="1:17" ht="19.5" hidden="1" customHeight="1">
      <c r="D29" s="11"/>
      <c r="E29" s="219" t="s">
        <v>42</v>
      </c>
      <c r="F29" s="118"/>
      <c r="G29" s="9"/>
      <c r="Q29" s="10">
        <v>0</v>
      </c>
    </row>
    <row r="30" spans="1:17" s="133" customFormat="1" ht="6.4" customHeight="1">
      <c r="A30" s="446"/>
      <c r="B30" s="129"/>
      <c r="C30" s="130"/>
      <c r="D30" s="136"/>
      <c r="E30" s="134"/>
      <c r="F30" s="137"/>
      <c r="G30" s="13"/>
      <c r="H30" s="10"/>
      <c r="I30" s="231"/>
      <c r="J30" s="401"/>
      <c r="Q30" s="133">
        <v>6</v>
      </c>
    </row>
    <row r="31" spans="1:17" ht="21" customHeight="1">
      <c r="C31" s="14"/>
      <c r="D31" s="15"/>
      <c r="E31" s="219" t="str">
        <f>"Наименование "&amp;IF(TEMPLATE_GROUP="ROIV","органа тарифного регулирования","ЮЛ / ИП")</f>
        <v>Наименование ЮЛ / ИП</v>
      </c>
      <c r="F31" s="117" t="s">
        <v>45</v>
      </c>
      <c r="G31" s="442"/>
      <c r="Q31" s="10">
        <v>20</v>
      </c>
    </row>
    <row r="32" spans="1:17" ht="21" hidden="1" customHeight="1">
      <c r="C32" s="14"/>
      <c r="D32" s="15"/>
      <c r="E32" s="220" t="s">
        <v>46</v>
      </c>
      <c r="F32" s="117"/>
      <c r="G32" s="442"/>
      <c r="Q32" s="10">
        <v>20</v>
      </c>
    </row>
    <row r="33" spans="1:17" ht="21" customHeight="1">
      <c r="C33" s="14"/>
      <c r="D33" s="15"/>
      <c r="E33" s="219" t="s">
        <v>47</v>
      </c>
      <c r="F33" s="117" t="s">
        <v>48</v>
      </c>
      <c r="G33" s="442"/>
      <c r="Q33" s="10">
        <v>20</v>
      </c>
    </row>
    <row r="34" spans="1:17" ht="21" customHeight="1">
      <c r="C34" s="14"/>
      <c r="D34" s="15"/>
      <c r="E34" s="219" t="s">
        <v>49</v>
      </c>
      <c r="F34" s="117" t="s">
        <v>50</v>
      </c>
      <c r="G34" s="442"/>
      <c r="H34" s="16"/>
      <c r="Q34" s="10">
        <v>20</v>
      </c>
    </row>
    <row r="35" spans="1:17" s="133" customFormat="1" ht="11.45" customHeight="1">
      <c r="A35" s="446"/>
      <c r="B35" s="129"/>
      <c r="C35" s="130"/>
      <c r="D35" s="136"/>
      <c r="E35" s="134"/>
      <c r="F35" s="137"/>
      <c r="G35" s="13"/>
      <c r="H35" s="10"/>
      <c r="I35" s="231"/>
      <c r="J35" s="401"/>
      <c r="Q35" s="133">
        <v>11</v>
      </c>
    </row>
    <row r="36" spans="1:17" ht="19.5" hidden="1" customHeight="1">
      <c r="A36" s="506"/>
      <c r="D36" s="15"/>
      <c r="E36" s="219" t="s">
        <v>51</v>
      </c>
      <c r="F36" s="199"/>
      <c r="G36" s="13"/>
      <c r="Q36" s="10">
        <v>0</v>
      </c>
    </row>
    <row r="37" spans="1:17" ht="21" customHeight="1">
      <c r="A37" s="506"/>
      <c r="D37" s="15"/>
      <c r="E37" s="219" t="s">
        <v>52</v>
      </c>
      <c r="F37" s="199" t="s">
        <v>53</v>
      </c>
      <c r="G37" s="13"/>
      <c r="Q37" s="10">
        <v>20</v>
      </c>
    </row>
    <row r="38" spans="1:17" s="133" customFormat="1" ht="6.4" customHeight="1">
      <c r="A38" s="446"/>
      <c r="B38" s="129"/>
      <c r="C38" s="130"/>
      <c r="D38" s="131"/>
      <c r="E38" s="132"/>
      <c r="F38" s="617"/>
      <c r="G38" s="9"/>
      <c r="H38" s="10"/>
      <c r="I38" s="231"/>
      <c r="J38" s="60"/>
      <c r="Q38" s="133">
        <v>6</v>
      </c>
    </row>
    <row r="39" spans="1:17" ht="36.75" customHeight="1">
      <c r="A39" s="446"/>
      <c r="D39" s="11"/>
      <c r="E39" s="219" t="s">
        <v>54</v>
      </c>
      <c r="F39" s="405" t="s">
        <v>19</v>
      </c>
      <c r="G39" s="9"/>
      <c r="H39" s="439" t="s">
        <v>22</v>
      </c>
      <c r="Q39" s="10">
        <v>35</v>
      </c>
    </row>
    <row r="40" spans="1:17" s="133" customFormat="1" ht="6.4" hidden="1" customHeight="1">
      <c r="A40" s="445"/>
      <c r="B40" s="129"/>
      <c r="C40" s="130"/>
      <c r="D40" s="131"/>
      <c r="E40" s="132"/>
      <c r="F40" s="617"/>
      <c r="G40" s="9"/>
      <c r="H40" s="10"/>
      <c r="I40" s="231"/>
      <c r="J40" s="60"/>
      <c r="Q40" s="133">
        <v>6</v>
      </c>
    </row>
    <row r="41" spans="1:17" s="10" customFormat="1" ht="26.25" hidden="1" customHeight="1">
      <c r="A41" s="448" t="s">
        <v>26</v>
      </c>
      <c r="B41" s="29"/>
      <c r="C41" s="8"/>
      <c r="D41" s="11"/>
      <c r="E41" s="219"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405" t="s">
        <v>19</v>
      </c>
      <c r="G41" s="9"/>
      <c r="I41" s="231"/>
      <c r="J41" s="60"/>
      <c r="Q41" s="10">
        <v>0</v>
      </c>
    </row>
    <row r="42" spans="1:17" s="133" customFormat="1" ht="6" hidden="1" customHeight="1">
      <c r="A42" s="445"/>
      <c r="B42" s="129"/>
      <c r="C42" s="130"/>
      <c r="D42" s="131"/>
      <c r="E42" s="132"/>
      <c r="F42" s="617"/>
      <c r="G42" s="9"/>
      <c r="H42" s="10"/>
      <c r="I42" s="231"/>
      <c r="J42" s="401"/>
      <c r="Q42" s="133">
        <v>0</v>
      </c>
    </row>
    <row r="43" spans="1:17" s="10" customFormat="1" ht="27" hidden="1" customHeight="1">
      <c r="A43" s="445"/>
      <c r="B43" s="29"/>
      <c r="C43" s="8"/>
      <c r="D43" s="11"/>
      <c r="E43" s="219" t="s">
        <v>55</v>
      </c>
      <c r="F43" s="405" t="s">
        <v>19</v>
      </c>
      <c r="G43" s="9"/>
      <c r="I43" s="231"/>
      <c r="J43" s="60"/>
      <c r="Q43" s="10">
        <v>0</v>
      </c>
    </row>
    <row r="44" spans="1:17" s="10" customFormat="1" ht="27" hidden="1" customHeight="1">
      <c r="A44" s="445"/>
      <c r="B44" s="29"/>
      <c r="C44" s="8"/>
      <c r="D44" s="11"/>
      <c r="E44" s="219" t="s">
        <v>56</v>
      </c>
      <c r="F44" s="1018"/>
      <c r="G44" s="9"/>
      <c r="I44" s="231"/>
      <c r="J44" s="60"/>
      <c r="Q44" s="10">
        <v>0</v>
      </c>
    </row>
    <row r="45" spans="1:17" s="133" customFormat="1" ht="6" hidden="1" customHeight="1">
      <c r="A45" s="445"/>
      <c r="B45" s="129"/>
      <c r="C45" s="130"/>
      <c r="D45" s="131"/>
      <c r="E45" s="132"/>
      <c r="F45" s="617"/>
      <c r="G45" s="9"/>
      <c r="H45" s="10"/>
      <c r="I45" s="231"/>
      <c r="J45" s="60"/>
      <c r="Q45" s="133">
        <v>0</v>
      </c>
    </row>
    <row r="46" spans="1:17" s="133" customFormat="1" ht="24.75" hidden="1" customHeight="1">
      <c r="A46" s="445"/>
      <c r="B46" s="129"/>
      <c r="C46" s="130"/>
      <c r="D46" s="131"/>
      <c r="E46" s="219" t="s">
        <v>57</v>
      </c>
      <c r="F46" s="405" t="s">
        <v>19</v>
      </c>
      <c r="G46" s="9"/>
      <c r="H46" s="10"/>
      <c r="I46" s="231"/>
      <c r="J46" s="60"/>
      <c r="Q46" s="133">
        <v>0</v>
      </c>
    </row>
    <row r="47" spans="1:17" s="10" customFormat="1" ht="24.75" hidden="1" customHeight="1">
      <c r="A47" s="445"/>
      <c r="B47" s="29"/>
      <c r="C47" s="8"/>
      <c r="D47" s="11"/>
      <c r="E47" s="219" t="s">
        <v>58</v>
      </c>
      <c r="F47" s="405" t="s">
        <v>19</v>
      </c>
      <c r="G47" s="9"/>
      <c r="I47" s="231"/>
      <c r="J47" s="60"/>
      <c r="Q47" s="10">
        <v>0</v>
      </c>
    </row>
    <row r="48" spans="1:17" s="133" customFormat="1" ht="6" hidden="1" customHeight="1">
      <c r="A48" s="445"/>
      <c r="B48" s="129"/>
      <c r="C48" s="130"/>
      <c r="D48" s="131"/>
      <c r="E48" s="132"/>
      <c r="F48" s="617"/>
      <c r="G48" s="9"/>
      <c r="H48" s="10"/>
      <c r="I48" s="231"/>
      <c r="J48" s="60"/>
      <c r="Q48" s="133">
        <v>0</v>
      </c>
    </row>
    <row r="49" spans="1:17" ht="29.25" hidden="1" customHeight="1">
      <c r="D49" s="11"/>
      <c r="E49" s="21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405"/>
      <c r="G49" s="9"/>
      <c r="Q49" s="10">
        <v>0</v>
      </c>
    </row>
    <row r="50" spans="1:17" s="133" customFormat="1" ht="6" hidden="1" customHeight="1">
      <c r="A50" s="446"/>
      <c r="B50" s="129"/>
      <c r="C50" s="130"/>
      <c r="D50" s="136"/>
      <c r="E50" s="134"/>
      <c r="F50" s="137"/>
      <c r="G50" s="13"/>
      <c r="H50" s="10"/>
      <c r="I50" s="231"/>
      <c r="J50" s="60"/>
      <c r="Q50" s="133">
        <v>0</v>
      </c>
    </row>
    <row r="51" spans="1:17" s="10" customFormat="1" ht="28.5" hidden="1" customHeight="1">
      <c r="A51" s="447"/>
      <c r="B51" s="29"/>
      <c r="C51" s="8"/>
      <c r="D51" s="231"/>
      <c r="E51" s="219" t="s">
        <v>59</v>
      </c>
      <c r="F51" s="405" t="s">
        <v>19</v>
      </c>
      <c r="G51" s="56"/>
      <c r="I51" s="298"/>
      <c r="J51" s="60"/>
      <c r="P51" s="299"/>
      <c r="Q51" s="10">
        <v>0</v>
      </c>
    </row>
    <row r="52" spans="1:17" s="133" customFormat="1" ht="6" hidden="1" customHeight="1">
      <c r="A52" s="446"/>
      <c r="B52" s="129"/>
      <c r="C52" s="130"/>
      <c r="D52" s="136"/>
      <c r="E52" s="134"/>
      <c r="F52" s="137"/>
      <c r="G52" s="13"/>
      <c r="H52" s="10"/>
      <c r="I52" s="231"/>
      <c r="J52" s="401"/>
      <c r="Q52" s="133">
        <v>0</v>
      </c>
    </row>
    <row r="53" spans="1:17" s="10" customFormat="1" ht="27" hidden="1" customHeight="1">
      <c r="A53" s="447"/>
      <c r="B53" s="29"/>
      <c r="C53" s="8"/>
      <c r="D53" s="231"/>
      <c r="E53" s="219" t="s">
        <v>60</v>
      </c>
      <c r="F53" s="616" t="s">
        <v>19</v>
      </c>
      <c r="G53" s="56"/>
      <c r="I53" s="298"/>
      <c r="J53" s="60"/>
      <c r="P53" s="299"/>
      <c r="Q53" s="10">
        <v>0</v>
      </c>
    </row>
    <row r="54" spans="1:17" s="10" customFormat="1" ht="27" hidden="1" customHeight="1">
      <c r="A54" s="447"/>
      <c r="B54" s="29"/>
      <c r="C54" s="8"/>
      <c r="D54" s="231"/>
      <c r="E54" s="219" t="s">
        <v>61</v>
      </c>
      <c r="F54" s="974"/>
      <c r="G54" s="56"/>
      <c r="I54" s="298"/>
      <c r="J54" s="60"/>
      <c r="P54" s="299"/>
      <c r="Q54" s="10">
        <v>0</v>
      </c>
    </row>
    <row r="55" spans="1:17" s="133" customFormat="1" ht="6" hidden="1" customHeight="1">
      <c r="A55" s="446"/>
      <c r="B55" s="129"/>
      <c r="C55" s="130"/>
      <c r="D55" s="136"/>
      <c r="E55" s="134"/>
      <c r="F55" s="137"/>
      <c r="G55" s="13"/>
      <c r="H55" s="10"/>
      <c r="I55" s="231"/>
      <c r="J55" s="401"/>
      <c r="Q55" s="133">
        <v>0</v>
      </c>
    </row>
    <row r="56" spans="1:17" s="10" customFormat="1" ht="25.5" hidden="1" customHeight="1">
      <c r="A56" s="447"/>
      <c r="B56" s="29"/>
      <c r="C56" s="8"/>
      <c r="D56" s="231"/>
      <c r="E56" s="219" t="s">
        <v>62</v>
      </c>
      <c r="F56" s="616" t="s">
        <v>19</v>
      </c>
      <c r="G56" s="56"/>
      <c r="I56" s="298"/>
      <c r="J56" s="60"/>
      <c r="P56" s="299"/>
      <c r="Q56" s="10">
        <v>0</v>
      </c>
    </row>
    <row r="57" spans="1:17" s="133" customFormat="1" ht="6" hidden="1" customHeight="1">
      <c r="A57" s="446"/>
      <c r="B57" s="129"/>
      <c r="C57" s="130"/>
      <c r="D57" s="136"/>
      <c r="E57" s="134"/>
      <c r="F57" s="137"/>
      <c r="G57" s="13"/>
      <c r="H57" s="10"/>
      <c r="I57" s="231"/>
      <c r="J57" s="401"/>
      <c r="Q57" s="133">
        <v>0</v>
      </c>
    </row>
    <row r="58" spans="1:17" s="10" customFormat="1" ht="15" hidden="1" customHeight="1">
      <c r="A58" s="447"/>
      <c r="B58" s="29"/>
      <c r="C58" s="8"/>
      <c r="D58" s="231"/>
      <c r="E58" s="219" t="s">
        <v>63</v>
      </c>
      <c r="F58" s="616" t="s">
        <v>64</v>
      </c>
      <c r="G58" s="56"/>
      <c r="I58" s="298"/>
      <c r="J58" s="60"/>
      <c r="P58" s="299"/>
      <c r="Q58" s="10">
        <v>0</v>
      </c>
    </row>
    <row r="59" spans="1:17" s="10" customFormat="1" ht="75" hidden="1" customHeight="1">
      <c r="A59" s="447"/>
      <c r="B59" s="29"/>
      <c r="C59" s="8"/>
      <c r="D59" s="231"/>
      <c r="E59" s="21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616"/>
      <c r="G59" s="56"/>
      <c r="I59" s="298"/>
      <c r="J59" s="60"/>
      <c r="P59" s="299"/>
      <c r="Q59" s="10">
        <v>0</v>
      </c>
    </row>
    <row r="60" spans="1:17" s="10" customFormat="1" ht="15" hidden="1" customHeight="1">
      <c r="A60" s="447"/>
      <c r="B60" s="29"/>
      <c r="C60" s="8"/>
      <c r="D60" s="231"/>
      <c r="E60" s="219" t="s">
        <v>65</v>
      </c>
      <c r="F60" s="199"/>
      <c r="G60" s="56"/>
      <c r="I60" s="298"/>
      <c r="J60" s="60"/>
      <c r="P60" s="299"/>
      <c r="Q60" s="10">
        <v>0</v>
      </c>
    </row>
    <row r="61" spans="1:17" s="133" customFormat="1" ht="6" hidden="1" customHeight="1">
      <c r="A61" s="446"/>
      <c r="B61" s="129"/>
      <c r="C61" s="130"/>
      <c r="D61" s="131"/>
      <c r="E61" s="132"/>
      <c r="F61" s="617"/>
      <c r="G61" s="9"/>
      <c r="H61" s="10"/>
      <c r="I61" s="231"/>
      <c r="J61" s="60"/>
      <c r="Q61" s="133">
        <v>0</v>
      </c>
    </row>
    <row r="62" spans="1:17" s="10" customFormat="1" ht="33.75" hidden="1" customHeight="1">
      <c r="A62" s="446"/>
      <c r="B62" s="29"/>
      <c r="C62" s="8"/>
      <c r="D62" s="11"/>
      <c r="E62" s="219" t="s">
        <v>66</v>
      </c>
      <c r="F62" s="405" t="s">
        <v>64</v>
      </c>
      <c r="G62" s="9"/>
      <c r="H62" s="439" t="s">
        <v>22</v>
      </c>
      <c r="I62" s="231"/>
      <c r="J62" s="60"/>
      <c r="Q62" s="10">
        <v>0</v>
      </c>
    </row>
    <row r="63" spans="1:17" s="133" customFormat="1" ht="6.4" customHeight="1">
      <c r="A63" s="446"/>
      <c r="B63" s="129"/>
      <c r="C63" s="130"/>
      <c r="D63" s="136"/>
      <c r="E63" s="134"/>
      <c r="F63" s="137"/>
      <c r="G63" s="13"/>
      <c r="H63" s="10"/>
      <c r="I63" s="231"/>
      <c r="J63" s="401"/>
      <c r="Q63" s="133">
        <v>6</v>
      </c>
    </row>
    <row r="64" spans="1:17" ht="21" customHeight="1">
      <c r="B64" s="30"/>
      <c r="D64" s="18"/>
      <c r="E64" s="219" t="s">
        <v>67</v>
      </c>
      <c r="F64" s="116" t="s">
        <v>68</v>
      </c>
      <c r="G64" s="13"/>
      <c r="Q64" s="10">
        <v>20</v>
      </c>
    </row>
    <row r="65" spans="1:17" ht="21" customHeight="1">
      <c r="B65" s="30"/>
      <c r="D65" s="18"/>
      <c r="E65" s="219" t="s">
        <v>69</v>
      </c>
      <c r="F65" s="116" t="s">
        <v>70</v>
      </c>
      <c r="G65" s="13"/>
      <c r="Q65" s="10">
        <v>20</v>
      </c>
    </row>
    <row r="66" spans="1:17" ht="36.75" customHeight="1">
      <c r="D66" s="11"/>
      <c r="E66" s="221" t="s">
        <v>71</v>
      </c>
      <c r="F66" s="77"/>
      <c r="G66" s="9"/>
      <c r="Q66" s="10">
        <v>35</v>
      </c>
    </row>
    <row r="67" spans="1:17" ht="21" customHeight="1">
      <c r="D67" s="11"/>
      <c r="E67" s="219" t="s">
        <v>72</v>
      </c>
      <c r="F67" s="116" t="s">
        <v>73</v>
      </c>
      <c r="G67" s="13"/>
      <c r="Q67" s="10">
        <v>20</v>
      </c>
    </row>
    <row r="68" spans="1:17" ht="21" customHeight="1">
      <c r="B68" s="30"/>
      <c r="D68" s="18"/>
      <c r="E68" s="219" t="s">
        <v>74</v>
      </c>
      <c r="F68" s="116" t="s">
        <v>75</v>
      </c>
      <c r="G68" s="13"/>
      <c r="Q68" s="10">
        <v>20</v>
      </c>
    </row>
    <row r="69" spans="1:17" ht="21" customHeight="1">
      <c r="B69" s="30"/>
      <c r="D69" s="18"/>
      <c r="E69" s="219" t="s">
        <v>76</v>
      </c>
      <c r="F69" s="116" t="s">
        <v>77</v>
      </c>
      <c r="G69" s="13"/>
      <c r="Q69" s="10">
        <v>20</v>
      </c>
    </row>
    <row r="70" spans="1:17" ht="21" customHeight="1">
      <c r="D70" s="11"/>
      <c r="E70" s="219" t="s">
        <v>78</v>
      </c>
      <c r="F70" s="116" t="s">
        <v>79</v>
      </c>
      <c r="G70" s="9"/>
      <c r="Q70" s="10">
        <v>20</v>
      </c>
    </row>
    <row r="71" spans="1:17" ht="21" customHeight="1">
      <c r="D71" s="9"/>
      <c r="F71" s="52"/>
      <c r="G71" s="13"/>
      <c r="Q71" s="10">
        <v>20</v>
      </c>
    </row>
    <row r="72" spans="1:17" ht="21" customHeight="1">
      <c r="B72" s="30"/>
      <c r="D72" s="18"/>
      <c r="E72" s="17"/>
      <c r="F72" s="300" t="s">
        <v>13</v>
      </c>
      <c r="G72" s="13"/>
      <c r="Q72" s="10">
        <v>20</v>
      </c>
    </row>
    <row r="73" spans="1:17" ht="21" customHeight="1">
      <c r="B73" s="30"/>
      <c r="D73" s="18"/>
      <c r="E73" s="17"/>
      <c r="F73" s="53"/>
      <c r="G73" s="13"/>
      <c r="Q73" s="10">
        <v>20</v>
      </c>
    </row>
    <row r="74" spans="1:17" ht="21" customHeight="1">
      <c r="B74" s="30"/>
      <c r="D74" s="18"/>
      <c r="E74" s="20"/>
      <c r="F74" s="53"/>
      <c r="G74" s="13"/>
      <c r="Q74" s="10">
        <v>20</v>
      </c>
    </row>
    <row r="75" spans="1:17" ht="21" customHeight="1">
      <c r="B75" s="30"/>
      <c r="D75" s="18"/>
      <c r="E75" s="17"/>
      <c r="F75" s="53"/>
      <c r="G75" s="13"/>
      <c r="Q75" s="10">
        <v>20</v>
      </c>
    </row>
    <row r="76" spans="1:17" ht="11.45" customHeight="1">
      <c r="Q76" s="10">
        <v>11</v>
      </c>
    </row>
    <row r="77" spans="1:17" ht="11.45" customHeight="1">
      <c r="Q77" s="10">
        <v>11</v>
      </c>
    </row>
    <row r="78" spans="1:17" ht="11.45" customHeight="1">
      <c r="E78" s="218"/>
      <c r="F78" s="218"/>
      <c r="G78" s="218"/>
      <c r="H78" s="218"/>
      <c r="I78" s="218"/>
      <c r="Q78" s="10">
        <v>11</v>
      </c>
    </row>
    <row r="79" spans="1:17" ht="11.25" hidden="1" customHeight="1">
      <c r="A79" s="445" t="s">
        <v>80</v>
      </c>
      <c r="B79" s="29">
        <v>0</v>
      </c>
      <c r="C79" s="8">
        <v>3</v>
      </c>
      <c r="D79" s="10">
        <v>1</v>
      </c>
      <c r="E79" s="10">
        <v>55</v>
      </c>
      <c r="F79" s="10">
        <v>54</v>
      </c>
      <c r="G79" s="56">
        <v>1</v>
      </c>
      <c r="H79" s="10">
        <v>0</v>
      </c>
      <c r="I79" s="231">
        <v>59</v>
      </c>
      <c r="J79" s="60">
        <v>0</v>
      </c>
      <c r="K79" s="10">
        <v>8</v>
      </c>
      <c r="L79" s="10">
        <v>77</v>
      </c>
      <c r="M79" s="10">
        <v>8</v>
      </c>
      <c r="N79" s="10">
        <v>8</v>
      </c>
      <c r="O79" s="10">
        <v>8</v>
      </c>
      <c r="P79" s="10">
        <v>8</v>
      </c>
      <c r="Q79" s="10">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8" hidden="1" customWidth="1"/>
    <col min="13" max="14" width="12.28515625" style="503" hidden="1" customWidth="1"/>
    <col min="15" max="15" width="23.42578125" style="503" hidden="1" customWidth="1"/>
    <col min="16" max="16" width="3" style="503" customWidth="1"/>
    <col min="17" max="17" width="3" style="769" customWidth="1"/>
    <col min="18" max="18" width="3" style="28" customWidth="1"/>
    <col min="19" max="19" width="12" style="339"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5.42578125" style="10" customWidth="1"/>
    <col min="29" max="30" width="3" style="10" customWidth="1"/>
    <col min="31" max="31" width="24" style="10" customWidth="1"/>
    <col min="32" max="32" width="3.7109375" style="10" customWidth="1"/>
    <col min="33" max="34" width="3" style="10" customWidth="1"/>
    <col min="35" max="35" width="24" style="10" customWidth="1"/>
    <col min="36" max="36" width="3.7109375" style="10" customWidth="1"/>
    <col min="37" max="38" width="3" style="10" customWidth="1"/>
    <col min="39" max="39" width="18" style="10" customWidth="1"/>
    <col min="40" max="41" width="21" style="10" customWidth="1"/>
    <col min="42" max="42" width="11" style="10" customWidth="1"/>
    <col min="43" max="43" width="3.7109375" style="10" customWidth="1"/>
    <col min="44" max="44" width="11" style="10" customWidth="1"/>
    <col min="45" max="45" width="8.5703125" style="10" hidden="1" customWidth="1"/>
    <col min="46" max="46" width="4" style="10" customWidth="1"/>
    <col min="47" max="47" width="115" style="10" customWidth="1"/>
    <col min="48" max="52" width="10" style="65" customWidth="1"/>
    <col min="53" max="53" width="10.5703125" style="10" hidden="1"/>
  </cols>
  <sheetData>
    <row r="1" spans="1:53" ht="22.5" hidden="1" customHeight="1">
      <c r="BA1" s="10" t="s">
        <v>14</v>
      </c>
    </row>
    <row r="2" spans="1:53" ht="21" hidden="1" customHeight="1">
      <c r="A2" s="766"/>
      <c r="B2" s="766"/>
      <c r="C2" s="766"/>
      <c r="D2" s="766"/>
      <c r="E2" s="1283">
        <v>1</v>
      </c>
      <c r="F2" s="766"/>
      <c r="G2" s="766"/>
      <c r="H2" s="766"/>
      <c r="I2" s="766"/>
      <c r="J2" s="766"/>
      <c r="K2" s="766"/>
      <c r="L2" s="767"/>
      <c r="M2" s="423"/>
      <c r="N2" s="423"/>
      <c r="O2" s="423"/>
      <c r="Q2" s="59"/>
      <c r="R2" s="204"/>
      <c r="S2" s="706" t="e">
        <f>INDEX(PT_DIFFERENTIATION_NUM_NTAR,MATCH(A2,PT_DIFFERENTIATION_NTAR_ID,0))</f>
        <v>#N/A</v>
      </c>
      <c r="T2" s="64" t="s">
        <v>121</v>
      </c>
      <c r="U2" s="168"/>
      <c r="V2" s="1278"/>
      <c r="W2" s="1278"/>
      <c r="X2" s="1278"/>
      <c r="Y2" s="1278"/>
      <c r="Z2" s="1278"/>
      <c r="AA2" s="1279"/>
      <c r="AB2" s="1277" t="e">
        <f>INDEX(PT_DIFFERENTIATION_NTAR,MATCH(A2,PT_DIFFERENTIATION_NTAR_ID,0))</f>
        <v>#N/A</v>
      </c>
      <c r="AC2" s="1278"/>
      <c r="AD2" s="1278"/>
      <c r="AE2" s="1278"/>
      <c r="AF2" s="1278"/>
      <c r="AG2" s="1278"/>
      <c r="AH2" s="1278"/>
      <c r="AI2" s="1278"/>
      <c r="AJ2" s="1278"/>
      <c r="AK2" s="1278"/>
      <c r="AL2" s="1278"/>
      <c r="AM2" s="1278"/>
      <c r="AN2" s="1278"/>
      <c r="AO2" s="1278"/>
      <c r="AP2" s="1278"/>
      <c r="AQ2" s="1278"/>
      <c r="AR2" s="1278"/>
      <c r="AS2" s="1278"/>
      <c r="AT2" s="1279"/>
      <c r="AU2" s="726" t="s">
        <v>396</v>
      </c>
      <c r="AW2" s="66"/>
      <c r="AX2" s="66" t="str">
        <f t="shared" ref="AX2:AX8" si="0">IF(T2="","",T2)</f>
        <v>Наименование тарифа</v>
      </c>
      <c r="AY2" s="66"/>
      <c r="AZ2" s="66"/>
      <c r="BA2" s="10">
        <v>0</v>
      </c>
    </row>
    <row r="3" spans="1:53" ht="21" hidden="1" customHeight="1">
      <c r="A3" s="766"/>
      <c r="B3" s="766"/>
      <c r="C3" s="766"/>
      <c r="D3" s="766"/>
      <c r="E3" s="1284"/>
      <c r="F3" s="1283">
        <v>1</v>
      </c>
      <c r="G3" s="766"/>
      <c r="H3" s="766"/>
      <c r="I3" s="766"/>
      <c r="J3" s="766"/>
      <c r="K3" s="766"/>
      <c r="L3" s="767"/>
      <c r="M3" s="423"/>
      <c r="N3" s="423"/>
      <c r="O3" s="423"/>
      <c r="P3" s="298"/>
      <c r="Q3" s="799"/>
      <c r="R3" s="202"/>
      <c r="S3" s="706" t="e">
        <f>INDEX(PT_DIFFERENTIATION_NUM_TER,MATCH(B3,PT_DIFFERENTIATION_TER_ID,0))</f>
        <v>#N/A</v>
      </c>
      <c r="T3" s="174" t="s">
        <v>397</v>
      </c>
      <c r="U3" s="168"/>
      <c r="V3" s="1278"/>
      <c r="W3" s="1278"/>
      <c r="X3" s="1278"/>
      <c r="Y3" s="1278"/>
      <c r="Z3" s="1278"/>
      <c r="AA3" s="1279"/>
      <c r="AB3" s="1277" t="e">
        <f>INDEX(PT_DIFFERENTIATION_TER,MATCH(B3,PT_DIFFERENTIATION_TER_ID,0))</f>
        <v>#N/A</v>
      </c>
      <c r="AC3" s="1278"/>
      <c r="AD3" s="1278"/>
      <c r="AE3" s="1278"/>
      <c r="AF3" s="1278"/>
      <c r="AG3" s="1278"/>
      <c r="AH3" s="1278"/>
      <c r="AI3" s="1278"/>
      <c r="AJ3" s="1278"/>
      <c r="AK3" s="1278"/>
      <c r="AL3" s="1278"/>
      <c r="AM3" s="1278"/>
      <c r="AN3" s="1278"/>
      <c r="AO3" s="1278"/>
      <c r="AP3" s="1278"/>
      <c r="AQ3" s="1278"/>
      <c r="AR3" s="1278"/>
      <c r="AS3" s="1278"/>
      <c r="AT3" s="1279"/>
      <c r="AU3" s="726" t="s">
        <v>398</v>
      </c>
      <c r="AW3" s="66"/>
      <c r="AX3" s="66" t="str">
        <f t="shared" si="0"/>
        <v>Территория действия тарифа</v>
      </c>
      <c r="AY3" s="66"/>
      <c r="AZ3" s="66"/>
      <c r="BA3" s="10">
        <v>0</v>
      </c>
    </row>
    <row r="4" spans="1:53" ht="22.5" hidden="1" customHeight="1">
      <c r="A4" s="766"/>
      <c r="B4" s="766"/>
      <c r="C4" s="766"/>
      <c r="D4" s="766"/>
      <c r="E4" s="1284"/>
      <c r="F4" s="1284"/>
      <c r="G4" s="1283">
        <v>1</v>
      </c>
      <c r="H4" s="766"/>
      <c r="I4" s="766"/>
      <c r="J4" s="766"/>
      <c r="K4" s="766"/>
      <c r="L4" s="767"/>
      <c r="M4" s="423"/>
      <c r="N4" s="423"/>
      <c r="O4" s="423"/>
      <c r="P4" s="128"/>
      <c r="Q4" s="799"/>
      <c r="R4" s="202"/>
      <c r="S4" s="706" t="e">
        <f>INDEX(PT_DIFFERENTIATION_NUM_CS,MATCH(C4,PT_DIFFERENTIATION_CS_ID,0))</f>
        <v>#N/A</v>
      </c>
      <c r="T4" s="175" t="s">
        <v>399</v>
      </c>
      <c r="U4" s="168"/>
      <c r="V4" s="1278"/>
      <c r="W4" s="1278"/>
      <c r="X4" s="1278"/>
      <c r="Y4" s="1278"/>
      <c r="Z4" s="1278"/>
      <c r="AA4" s="1279"/>
      <c r="AB4" s="1277" t="e">
        <f>INDEX(PT_DIFFERENTIATION_CS,MATCH(C4,PT_DIFFERENTIATION_CS_ID,0))</f>
        <v>#N/A</v>
      </c>
      <c r="AC4" s="1278"/>
      <c r="AD4" s="1278"/>
      <c r="AE4" s="1278"/>
      <c r="AF4" s="1278"/>
      <c r="AG4" s="1278"/>
      <c r="AH4" s="1278"/>
      <c r="AI4" s="1278"/>
      <c r="AJ4" s="1278"/>
      <c r="AK4" s="1278"/>
      <c r="AL4" s="1278"/>
      <c r="AM4" s="1278"/>
      <c r="AN4" s="1278"/>
      <c r="AO4" s="1278"/>
      <c r="AP4" s="1278"/>
      <c r="AQ4" s="1278"/>
      <c r="AR4" s="1278"/>
      <c r="AS4" s="1278"/>
      <c r="AT4" s="1279"/>
      <c r="AU4" s="726" t="s">
        <v>400</v>
      </c>
      <c r="AW4" s="66"/>
      <c r="AX4" s="66" t="str">
        <f t="shared" si="0"/>
        <v xml:space="preserve">Наименование системы теплоснабжения </v>
      </c>
      <c r="AY4" s="66"/>
      <c r="AZ4" s="66"/>
      <c r="BA4" s="10">
        <v>0</v>
      </c>
    </row>
    <row r="5" spans="1:53" ht="21" hidden="1" customHeight="1">
      <c r="A5" s="766"/>
      <c r="B5" s="766"/>
      <c r="C5" s="766"/>
      <c r="D5" s="766"/>
      <c r="E5" s="1284"/>
      <c r="F5" s="1284"/>
      <c r="G5" s="1284"/>
      <c r="H5" s="1283">
        <v>1</v>
      </c>
      <c r="I5" s="766"/>
      <c r="J5" s="766"/>
      <c r="K5" s="766"/>
      <c r="L5" s="767"/>
      <c r="M5" s="423"/>
      <c r="N5" s="423"/>
      <c r="O5" s="423"/>
      <c r="P5" s="128"/>
      <c r="Q5" s="799"/>
      <c r="R5" s="202"/>
      <c r="S5" s="706" t="e">
        <f>INDEX(PT_DIFFERENTIATION_NUM_IST_TE,MATCH(D5,PT_DIFFERENTIATION_IST_TE_ID,0))</f>
        <v>#N/A</v>
      </c>
      <c r="T5" s="176" t="s">
        <v>401</v>
      </c>
      <c r="U5" s="168"/>
      <c r="V5" s="1278"/>
      <c r="W5" s="1278"/>
      <c r="X5" s="1278"/>
      <c r="Y5" s="1278"/>
      <c r="Z5" s="1278"/>
      <c r="AA5" s="1279"/>
      <c r="AB5" s="1277" t="e">
        <f>INDEX(PT_DIFFERENTIATION_IST_TE,MATCH(D5,PT_DIFFERENTIATION_IST_TE_ID,0))</f>
        <v>#N/A</v>
      </c>
      <c r="AC5" s="1278"/>
      <c r="AD5" s="1278"/>
      <c r="AE5" s="1278"/>
      <c r="AF5" s="1278"/>
      <c r="AG5" s="1278"/>
      <c r="AH5" s="1278"/>
      <c r="AI5" s="1278"/>
      <c r="AJ5" s="1278"/>
      <c r="AK5" s="1278"/>
      <c r="AL5" s="1278"/>
      <c r="AM5" s="1278"/>
      <c r="AN5" s="1278"/>
      <c r="AO5" s="1278"/>
      <c r="AP5" s="1278"/>
      <c r="AQ5" s="1278"/>
      <c r="AR5" s="1278"/>
      <c r="AS5" s="1278"/>
      <c r="AT5" s="1279"/>
      <c r="AU5" s="726" t="s">
        <v>402</v>
      </c>
      <c r="AW5" s="66"/>
      <c r="AX5" s="66" t="str">
        <f t="shared" si="0"/>
        <v xml:space="preserve">Источник тепловой энергии  </v>
      </c>
      <c r="AY5" s="66"/>
      <c r="AZ5" s="66"/>
      <c r="BA5" s="10">
        <v>0</v>
      </c>
    </row>
    <row r="6" spans="1:53" s="65" customFormat="1" ht="0.75" hidden="1" customHeight="1">
      <c r="A6" s="142"/>
      <c r="B6" s="142"/>
      <c r="C6" s="142"/>
      <c r="D6" s="142"/>
      <c r="E6" s="1284"/>
      <c r="F6" s="1284"/>
      <c r="G6" s="1284"/>
      <c r="H6" s="1284"/>
      <c r="I6" s="1285" t="e">
        <f>S5&amp;".1"</f>
        <v>#N/A</v>
      </c>
      <c r="J6" s="142"/>
      <c r="K6" s="142"/>
      <c r="L6" s="343" t="s">
        <v>403</v>
      </c>
      <c r="M6" s="287"/>
      <c r="N6" s="287"/>
      <c r="O6" s="287"/>
      <c r="P6" s="1287">
        <v>1</v>
      </c>
      <c r="Q6" s="119"/>
      <c r="R6" s="205"/>
      <c r="S6" s="359"/>
      <c r="T6" s="776"/>
      <c r="U6" s="777"/>
      <c r="V6" s="1315"/>
      <c r="W6" s="1315"/>
      <c r="X6" s="1315"/>
      <c r="Y6" s="1315"/>
      <c r="Z6" s="1315"/>
      <c r="AA6" s="1316"/>
      <c r="AB6" s="1314"/>
      <c r="AC6" s="1315"/>
      <c r="AD6" s="1315"/>
      <c r="AE6" s="1315"/>
      <c r="AF6" s="1315"/>
      <c r="AG6" s="1315"/>
      <c r="AH6" s="1315"/>
      <c r="AI6" s="1315"/>
      <c r="AJ6" s="1315"/>
      <c r="AK6" s="1315"/>
      <c r="AL6" s="1315"/>
      <c r="AM6" s="1315"/>
      <c r="AN6" s="1315"/>
      <c r="AO6" s="1315"/>
      <c r="AP6" s="1315"/>
      <c r="AQ6" s="1315"/>
      <c r="AR6" s="1315"/>
      <c r="AS6" s="1315"/>
      <c r="AT6" s="1316"/>
      <c r="AU6" s="778"/>
      <c r="AW6" s="66"/>
      <c r="AX6" s="66" t="str">
        <f t="shared" si="0"/>
        <v/>
      </c>
      <c r="AY6" s="66"/>
      <c r="AZ6" s="66"/>
      <c r="BA6" s="65">
        <v>0</v>
      </c>
    </row>
    <row r="7" spans="1:53" s="65" customFormat="1" ht="0.75" hidden="1" customHeight="1">
      <c r="A7" s="142"/>
      <c r="B7" s="142"/>
      <c r="C7" s="142"/>
      <c r="D7" s="142"/>
      <c r="E7" s="1284"/>
      <c r="F7" s="1284"/>
      <c r="G7" s="1284"/>
      <c r="H7" s="1284"/>
      <c r="I7" s="1286"/>
      <c r="J7" s="1285" t="e">
        <f>S5&amp;".1"</f>
        <v>#N/A</v>
      </c>
      <c r="K7" s="142"/>
      <c r="L7" s="343"/>
      <c r="M7" s="287"/>
      <c r="N7" s="287"/>
      <c r="O7" s="287"/>
      <c r="P7" s="1287"/>
      <c r="Q7" s="1287">
        <v>1</v>
      </c>
      <c r="R7" s="206"/>
      <c r="S7" s="359"/>
      <c r="T7" s="791"/>
      <c r="U7" s="777"/>
      <c r="V7" s="1315"/>
      <c r="W7" s="1315"/>
      <c r="X7" s="1315"/>
      <c r="Y7" s="1315"/>
      <c r="Z7" s="1315"/>
      <c r="AA7" s="1316"/>
      <c r="AB7" s="1314"/>
      <c r="AC7" s="1315"/>
      <c r="AD7" s="1315"/>
      <c r="AE7" s="1315"/>
      <c r="AF7" s="1315"/>
      <c r="AG7" s="1315"/>
      <c r="AH7" s="1315"/>
      <c r="AI7" s="1315"/>
      <c r="AJ7" s="1315"/>
      <c r="AK7" s="1315"/>
      <c r="AL7" s="1315"/>
      <c r="AM7" s="1315"/>
      <c r="AN7" s="1315"/>
      <c r="AO7" s="1315"/>
      <c r="AP7" s="1315"/>
      <c r="AQ7" s="1315"/>
      <c r="AR7" s="1315"/>
      <c r="AS7" s="1315"/>
      <c r="AT7" s="1316"/>
      <c r="AU7" s="778"/>
      <c r="AW7" s="66"/>
      <c r="AX7" s="66" t="str">
        <f t="shared" si="0"/>
        <v/>
      </c>
      <c r="AY7" s="66"/>
      <c r="AZ7" s="66"/>
      <c r="BA7" s="65">
        <v>0</v>
      </c>
    </row>
    <row r="8" spans="1:53" ht="21" hidden="1" customHeight="1">
      <c r="A8" s="766"/>
      <c r="B8" s="766"/>
      <c r="C8" s="766"/>
      <c r="D8" s="766"/>
      <c r="E8" s="1284"/>
      <c r="F8" s="1284"/>
      <c r="G8" s="1284"/>
      <c r="H8" s="1284"/>
      <c r="I8" s="1286"/>
      <c r="J8" s="1286"/>
      <c r="K8" s="1285" t="e">
        <f>S5&amp;".1"</f>
        <v>#N/A</v>
      </c>
      <c r="L8" s="767"/>
      <c r="P8" s="1287"/>
      <c r="Q8" s="1287"/>
      <c r="R8" s="1343">
        <v>1</v>
      </c>
      <c r="S8" s="1340" t="e">
        <f>$K8</f>
        <v>#N/A</v>
      </c>
      <c r="T8" s="1337"/>
      <c r="U8" s="168"/>
      <c r="V8" s="303"/>
      <c r="W8" s="725"/>
      <c r="X8" s="1288"/>
      <c r="Y8" s="1156" t="s">
        <v>64</v>
      </c>
      <c r="Z8" s="1288"/>
      <c r="AA8" s="1156" t="s">
        <v>64</v>
      </c>
      <c r="AB8" s="1156" t="s">
        <v>19</v>
      </c>
      <c r="AC8" s="1336"/>
      <c r="AD8" s="1240">
        <v>1</v>
      </c>
      <c r="AE8" s="1350"/>
      <c r="AF8" s="1156" t="s">
        <v>19</v>
      </c>
      <c r="AG8" s="1336"/>
      <c r="AH8" s="1240">
        <v>1</v>
      </c>
      <c r="AI8" s="1350"/>
      <c r="AJ8" s="1156" t="s">
        <v>19</v>
      </c>
      <c r="AK8" s="177"/>
      <c r="AL8" s="265">
        <v>1</v>
      </c>
      <c r="AM8" s="616"/>
      <c r="AN8" s="303"/>
      <c r="AO8" s="725"/>
      <c r="AP8" s="942"/>
      <c r="AQ8" s="294" t="s">
        <v>64</v>
      </c>
      <c r="AR8" s="942"/>
      <c r="AS8" s="294" t="s">
        <v>64</v>
      </c>
      <c r="AT8" s="763"/>
      <c r="AU8" s="1306" t="s">
        <v>461</v>
      </c>
      <c r="AV8" s="65" t="e">
        <f ca="1">STRCHECKDATE(V11:AT11)</f>
        <v>#NAME?</v>
      </c>
      <c r="AW8" s="66"/>
      <c r="AX8" s="66" t="str">
        <f t="shared" si="0"/>
        <v/>
      </c>
      <c r="AY8" s="66"/>
      <c r="AZ8" s="66"/>
      <c r="BA8" s="10">
        <v>0</v>
      </c>
    </row>
    <row r="9" spans="1:53" ht="11.25" hidden="1" customHeight="1">
      <c r="A9" s="766"/>
      <c r="B9" s="766"/>
      <c r="C9" s="766"/>
      <c r="D9" s="766"/>
      <c r="E9" s="1284"/>
      <c r="F9" s="1284"/>
      <c r="G9" s="1284"/>
      <c r="H9" s="1284"/>
      <c r="I9" s="1286"/>
      <c r="J9" s="1286"/>
      <c r="K9" s="1285"/>
      <c r="L9" s="767"/>
      <c r="P9" s="1287"/>
      <c r="Q9" s="1287"/>
      <c r="R9" s="1343"/>
      <c r="S9" s="1341"/>
      <c r="T9" s="1338"/>
      <c r="U9" s="168"/>
      <c r="V9" s="786"/>
      <c r="W9" s="790"/>
      <c r="X9" s="1288"/>
      <c r="Y9" s="1156"/>
      <c r="Z9" s="1288"/>
      <c r="AA9" s="1156"/>
      <c r="AB9" s="1156"/>
      <c r="AC9" s="1336"/>
      <c r="AD9" s="1240"/>
      <c r="AE9" s="1350"/>
      <c r="AF9" s="1156"/>
      <c r="AG9" s="1336"/>
      <c r="AH9" s="1240"/>
      <c r="AI9" s="1350"/>
      <c r="AJ9" s="1156"/>
      <c r="AK9" s="181"/>
      <c r="AL9" s="51"/>
      <c r="AM9" s="107" t="s">
        <v>462</v>
      </c>
      <c r="AN9" s="786"/>
      <c r="AO9" s="817"/>
      <c r="AP9" s="786"/>
      <c r="AQ9" s="786"/>
      <c r="AR9" s="786"/>
      <c r="AS9" s="786"/>
      <c r="AT9" s="783"/>
      <c r="AU9" s="1307"/>
      <c r="AW9" s="66"/>
      <c r="AX9" s="66"/>
      <c r="AY9" s="66"/>
      <c r="AZ9" s="66"/>
      <c r="BA9" s="10">
        <v>0</v>
      </c>
    </row>
    <row r="10" spans="1:53" ht="11.25" hidden="1" customHeight="1">
      <c r="A10" s="766"/>
      <c r="B10" s="766"/>
      <c r="C10" s="766"/>
      <c r="D10" s="766"/>
      <c r="E10" s="1284"/>
      <c r="F10" s="1284"/>
      <c r="G10" s="1284"/>
      <c r="H10" s="1284"/>
      <c r="I10" s="1286"/>
      <c r="J10" s="1286"/>
      <c r="K10" s="1285"/>
      <c r="L10" s="767"/>
      <c r="P10" s="1287"/>
      <c r="Q10" s="1287"/>
      <c r="R10" s="1343"/>
      <c r="S10" s="1341"/>
      <c r="T10" s="1338"/>
      <c r="U10" s="168"/>
      <c r="V10" s="786"/>
      <c r="W10" s="790"/>
      <c r="X10" s="1288"/>
      <c r="Y10" s="1156"/>
      <c r="Z10" s="1288"/>
      <c r="AA10" s="1156"/>
      <c r="AB10" s="1156"/>
      <c r="AC10" s="1336"/>
      <c r="AD10" s="1240"/>
      <c r="AE10" s="1350"/>
      <c r="AF10" s="1156"/>
      <c r="AG10" s="166"/>
      <c r="AH10" s="107"/>
      <c r="AI10" s="107" t="s">
        <v>463</v>
      </c>
      <c r="AJ10" s="786"/>
      <c r="AK10" s="786"/>
      <c r="AL10" s="786"/>
      <c r="AM10" s="786"/>
      <c r="AN10" s="786"/>
      <c r="AO10" s="817"/>
      <c r="AP10" s="786"/>
      <c r="AQ10" s="786"/>
      <c r="AR10" s="786"/>
      <c r="AS10" s="786"/>
      <c r="AT10" s="783"/>
      <c r="AU10" s="1307"/>
      <c r="AW10" s="66"/>
      <c r="AX10" s="66"/>
      <c r="AY10" s="66"/>
      <c r="AZ10" s="66"/>
      <c r="BA10" s="10">
        <v>0</v>
      </c>
    </row>
    <row r="11" spans="1:53" ht="11.25" hidden="1" customHeight="1">
      <c r="A11" s="766"/>
      <c r="B11" s="766"/>
      <c r="C11" s="766"/>
      <c r="D11" s="766"/>
      <c r="E11" s="1284"/>
      <c r="F11" s="1284"/>
      <c r="G11" s="1284"/>
      <c r="H11" s="1284"/>
      <c r="I11" s="1286"/>
      <c r="J11" s="1286"/>
      <c r="K11" s="1285"/>
      <c r="L11" s="767"/>
      <c r="P11" s="1287"/>
      <c r="Q11" s="1287"/>
      <c r="R11" s="1343"/>
      <c r="S11" s="1342"/>
      <c r="T11" s="1339"/>
      <c r="U11" s="168"/>
      <c r="V11" s="786"/>
      <c r="W11" s="789" t="str">
        <f>X8&amp;"-"&amp;Z8</f>
        <v>-</v>
      </c>
      <c r="X11" s="1289"/>
      <c r="Y11" s="1156"/>
      <c r="Z11" s="1289"/>
      <c r="AA11" s="1156"/>
      <c r="AB11" s="1156"/>
      <c r="AC11" s="178"/>
      <c r="AD11" s="180"/>
      <c r="AE11" s="107" t="s">
        <v>464</v>
      </c>
      <c r="AF11" s="786"/>
      <c r="AG11" s="786"/>
      <c r="AH11" s="786"/>
      <c r="AI11" s="786"/>
      <c r="AJ11" s="786"/>
      <c r="AK11" s="786"/>
      <c r="AL11" s="786"/>
      <c r="AM11" s="786"/>
      <c r="AN11" s="786"/>
      <c r="AO11" s="787" t="str">
        <f>AP8&amp;"-"&amp;AR8</f>
        <v>-</v>
      </c>
      <c r="AP11" s="786"/>
      <c r="AQ11" s="786"/>
      <c r="AR11" s="786"/>
      <c r="AS11" s="786"/>
      <c r="AT11" s="764"/>
      <c r="AU11" s="1307"/>
      <c r="AW11" s="66"/>
      <c r="AX11" s="66" t="str">
        <f t="shared" ref="AX11:AX17" si="1">IF(T11="","",T11)</f>
        <v/>
      </c>
      <c r="AY11" s="66"/>
      <c r="AZ11" s="66"/>
      <c r="BA11" s="10">
        <v>0</v>
      </c>
    </row>
    <row r="12" spans="1:53" ht="11.25" hidden="1" customHeight="1">
      <c r="A12" s="766"/>
      <c r="B12" s="766"/>
      <c r="C12" s="766"/>
      <c r="D12" s="766"/>
      <c r="E12" s="1284"/>
      <c r="F12" s="1284"/>
      <c r="G12" s="1284"/>
      <c r="H12" s="1284"/>
      <c r="I12" s="1286"/>
      <c r="J12" s="1285"/>
      <c r="K12" s="766"/>
      <c r="L12" s="767"/>
      <c r="P12" s="1287"/>
      <c r="Q12" s="1287"/>
      <c r="R12" s="205"/>
      <c r="S12" s="739"/>
      <c r="T12" s="163" t="s">
        <v>465</v>
      </c>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187"/>
      <c r="AU12" s="1308"/>
      <c r="AW12" s="66"/>
      <c r="AX12" s="66" t="str">
        <f t="shared" si="1"/>
        <v>Добавить строку</v>
      </c>
      <c r="AY12" s="66"/>
      <c r="AZ12" s="66"/>
      <c r="BA12" s="10">
        <v>0</v>
      </c>
    </row>
    <row r="13" spans="1:53" s="65" customFormat="1" ht="0.75" hidden="1" customHeight="1">
      <c r="A13" s="142"/>
      <c r="B13" s="142"/>
      <c r="C13" s="142"/>
      <c r="D13" s="142"/>
      <c r="E13" s="1284"/>
      <c r="F13" s="1284"/>
      <c r="G13" s="1284"/>
      <c r="H13" s="1284"/>
      <c r="I13" s="1285"/>
      <c r="J13" s="142"/>
      <c r="K13" s="142"/>
      <c r="L13" s="343"/>
      <c r="M13" s="287"/>
      <c r="N13" s="287"/>
      <c r="O13" s="287"/>
      <c r="P13" s="1287"/>
      <c r="Q13" s="119"/>
      <c r="R13" s="205"/>
      <c r="S13" s="779"/>
      <c r="T13" s="780"/>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c r="AT13" s="781"/>
      <c r="AU13" s="782"/>
      <c r="AW13" s="66"/>
      <c r="AX13" s="66" t="str">
        <f t="shared" si="1"/>
        <v/>
      </c>
      <c r="AY13" s="66"/>
      <c r="AZ13" s="66"/>
      <c r="BA13" s="65">
        <v>0</v>
      </c>
    </row>
    <row r="14" spans="1:53" s="65" customFormat="1" ht="0.75" hidden="1" customHeight="1">
      <c r="A14" s="142"/>
      <c r="B14" s="142"/>
      <c r="C14" s="142"/>
      <c r="D14" s="142"/>
      <c r="E14" s="1284"/>
      <c r="F14" s="1284"/>
      <c r="G14" s="1284"/>
      <c r="H14" s="1283"/>
      <c r="I14" s="142"/>
      <c r="J14" s="142"/>
      <c r="K14" s="142"/>
      <c r="L14" s="343"/>
      <c r="M14" s="290"/>
      <c r="N14" s="290"/>
      <c r="P14" s="101"/>
      <c r="Q14" s="752"/>
      <c r="R14" s="793"/>
      <c r="S14" s="779"/>
      <c r="T14" s="780"/>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c r="AT14" s="781"/>
      <c r="AU14" s="782"/>
      <c r="AW14" s="66"/>
      <c r="AX14" s="66" t="str">
        <f t="shared" si="1"/>
        <v/>
      </c>
      <c r="AY14" s="66"/>
      <c r="AZ14" s="66"/>
      <c r="BA14" s="65">
        <v>0</v>
      </c>
    </row>
    <row r="15" spans="1:53" s="65" customFormat="1" ht="0.75" hidden="1" customHeight="1">
      <c r="A15" s="142"/>
      <c r="B15" s="142"/>
      <c r="C15" s="142"/>
      <c r="D15" s="142"/>
      <c r="E15" s="1284"/>
      <c r="F15" s="1284"/>
      <c r="G15" s="1283"/>
      <c r="H15" s="142"/>
      <c r="I15" s="142"/>
      <c r="J15" s="142"/>
      <c r="K15" s="142"/>
      <c r="L15" s="343"/>
      <c r="M15" s="290"/>
      <c r="N15" s="290"/>
      <c r="P15" s="101"/>
      <c r="Q15" s="752"/>
      <c r="R15" s="101"/>
      <c r="S15" s="757"/>
      <c r="T15" s="759" t="s">
        <v>414</v>
      </c>
      <c r="U15" s="310"/>
      <c r="V15" s="310"/>
      <c r="W15" s="310"/>
      <c r="X15" s="310"/>
      <c r="Y15" s="310"/>
      <c r="Z15" s="310"/>
      <c r="AA15" s="310"/>
      <c r="AB15" s="310"/>
      <c r="AC15" s="310"/>
      <c r="AD15" s="310"/>
      <c r="AE15" s="310"/>
      <c r="AF15" s="310"/>
      <c r="AG15" s="310"/>
      <c r="AH15" s="310"/>
      <c r="AI15" s="310"/>
      <c r="AJ15" s="310"/>
      <c r="AK15" s="310"/>
      <c r="AL15" s="310"/>
      <c r="AM15" s="310"/>
      <c r="AN15" s="310"/>
      <c r="AO15" s="310"/>
      <c r="AP15" s="310"/>
      <c r="AQ15" s="310"/>
      <c r="AR15" s="310"/>
      <c r="AS15" s="310"/>
      <c r="AT15" s="310"/>
      <c r="AU15" s="310"/>
      <c r="AW15" s="66"/>
      <c r="AX15" s="66" t="str">
        <f t="shared" si="1"/>
        <v>Добавить источник для дифференциации</v>
      </c>
      <c r="AY15" s="66"/>
      <c r="AZ15" s="66"/>
      <c r="BA15" s="65">
        <v>0</v>
      </c>
    </row>
    <row r="16" spans="1:53" s="65" customFormat="1" ht="0.75" hidden="1" customHeight="1">
      <c r="A16" s="142"/>
      <c r="B16" s="142"/>
      <c r="C16" s="142"/>
      <c r="D16" s="142"/>
      <c r="E16" s="1284"/>
      <c r="F16" s="1283"/>
      <c r="G16" s="142"/>
      <c r="H16" s="142"/>
      <c r="I16" s="142"/>
      <c r="J16" s="142"/>
      <c r="K16" s="142"/>
      <c r="L16" s="343"/>
      <c r="M16" s="756"/>
      <c r="N16" s="756"/>
      <c r="P16" s="101"/>
      <c r="Q16" s="752"/>
      <c r="R16" s="101"/>
      <c r="S16" s="757"/>
      <c r="T16" s="759" t="s">
        <v>231</v>
      </c>
      <c r="U16" s="310"/>
      <c r="V16" s="310"/>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W16" s="66"/>
      <c r="AX16" s="66" t="str">
        <f t="shared" si="1"/>
        <v>Добавить централизованную систему для дифференциации</v>
      </c>
      <c r="AY16" s="66"/>
      <c r="AZ16" s="66"/>
      <c r="BA16" s="65">
        <v>0</v>
      </c>
    </row>
    <row r="17" spans="1:53" s="65" customFormat="1" ht="0.75" hidden="1" customHeight="1">
      <c r="A17" s="142"/>
      <c r="B17" s="142"/>
      <c r="C17" s="142"/>
      <c r="D17" s="142"/>
      <c r="E17" s="1283"/>
      <c r="F17" s="142"/>
      <c r="G17" s="142"/>
      <c r="H17" s="142"/>
      <c r="I17" s="142"/>
      <c r="J17" s="142"/>
      <c r="K17" s="142"/>
      <c r="L17" s="343"/>
      <c r="M17" s="756"/>
      <c r="N17" s="756"/>
      <c r="P17" s="101"/>
      <c r="Q17" s="752"/>
      <c r="R17" s="101"/>
      <c r="S17" s="757"/>
      <c r="T17" s="759" t="s">
        <v>232</v>
      </c>
      <c r="U17" s="310"/>
      <c r="V17" s="310"/>
      <c r="W17" s="310"/>
      <c r="X17" s="310"/>
      <c r="Y17" s="310"/>
      <c r="Z17" s="310"/>
      <c r="AA17" s="310"/>
      <c r="AB17" s="310"/>
      <c r="AC17" s="310"/>
      <c r="AD17" s="310"/>
      <c r="AE17" s="310"/>
      <c r="AF17" s="310"/>
      <c r="AG17" s="310"/>
      <c r="AH17" s="310"/>
      <c r="AI17" s="310"/>
      <c r="AJ17" s="310"/>
      <c r="AK17" s="310"/>
      <c r="AL17" s="310"/>
      <c r="AM17" s="310"/>
      <c r="AN17" s="310"/>
      <c r="AO17" s="310"/>
      <c r="AP17" s="310"/>
      <c r="AQ17" s="310"/>
      <c r="AR17" s="310"/>
      <c r="AS17" s="310"/>
      <c r="AT17" s="310"/>
      <c r="AU17" s="310"/>
      <c r="AW17" s="66"/>
      <c r="AX17" s="66" t="str">
        <f t="shared" si="1"/>
        <v>Добавить территорию для дифференциации</v>
      </c>
      <c r="AY17" s="66"/>
      <c r="AZ17" s="66"/>
      <c r="BA17" s="65">
        <v>0</v>
      </c>
    </row>
    <row r="18" spans="1:53" ht="14.25" hidden="1" customHeight="1">
      <c r="BA18" s="10">
        <v>0</v>
      </c>
    </row>
    <row r="19" spans="1:53" ht="14.25" hidden="1" customHeight="1">
      <c r="AB19" s="310" t="s">
        <v>19</v>
      </c>
      <c r="AC19" s="822"/>
      <c r="AD19" s="310">
        <v>1</v>
      </c>
      <c r="AE19" s="823"/>
      <c r="AF19" s="310" t="s">
        <v>19</v>
      </c>
      <c r="AG19" s="822"/>
      <c r="AH19" s="310">
        <v>1</v>
      </c>
      <c r="AI19" s="823"/>
      <c r="AJ19" s="310" t="s">
        <v>19</v>
      </c>
      <c r="AK19" s="824"/>
      <c r="AL19" s="310">
        <v>1</v>
      </c>
      <c r="AM19" s="826"/>
      <c r="AN19" s="609"/>
      <c r="AO19" s="794"/>
      <c r="AP19" s="944"/>
      <c r="AQ19" s="814" t="s">
        <v>64</v>
      </c>
      <c r="AR19" s="944"/>
      <c r="AS19" s="814" t="s">
        <v>64</v>
      </c>
      <c r="BA19" s="10">
        <v>0</v>
      </c>
    </row>
    <row r="20" spans="1:53" ht="14.25" hidden="1" customHeight="1">
      <c r="AV20" s="200"/>
      <c r="AW20" s="200"/>
      <c r="AX20" s="200"/>
      <c r="AY20" s="200"/>
      <c r="AZ20" s="200"/>
      <c r="BA20" s="10">
        <v>0</v>
      </c>
    </row>
    <row r="21" spans="1:53" ht="14.25" hidden="1" customHeight="1">
      <c r="O21" s="768" t="s">
        <v>415</v>
      </c>
      <c r="X21" s="761"/>
      <c r="Z21" s="761"/>
      <c r="AP21" s="761"/>
      <c r="AR21" s="761"/>
      <c r="AV21" s="200"/>
      <c r="AW21" s="200"/>
      <c r="AX21" s="200"/>
      <c r="AY21" s="200"/>
      <c r="AZ21" s="200"/>
      <c r="BA21" s="10">
        <v>0</v>
      </c>
    </row>
    <row r="22" spans="1:53" ht="14.25" hidden="1" customHeight="1">
      <c r="AV22" s="200"/>
      <c r="AW22" s="200"/>
      <c r="AX22" s="200"/>
      <c r="AY22" s="200"/>
      <c r="AZ22" s="200"/>
      <c r="BA22" s="10">
        <v>0</v>
      </c>
    </row>
    <row r="23" spans="1:53" s="827" customFormat="1" ht="14.25" hidden="1" customHeight="1">
      <c r="M23" s="828"/>
      <c r="N23" s="828"/>
      <c r="O23" s="827" t="s">
        <v>416</v>
      </c>
      <c r="P23" s="828"/>
      <c r="Q23" s="829"/>
      <c r="R23" s="829"/>
      <c r="Y23" s="827" t="s">
        <v>418</v>
      </c>
      <c r="AA23" s="827" t="s">
        <v>419</v>
      </c>
      <c r="AB23" s="827" t="s">
        <v>466</v>
      </c>
      <c r="AE23" s="827" t="s">
        <v>467</v>
      </c>
      <c r="AF23" s="827" t="s">
        <v>466</v>
      </c>
      <c r="AI23" s="827" t="s">
        <v>468</v>
      </c>
      <c r="AJ23" s="827" t="s">
        <v>466</v>
      </c>
      <c r="AM23" s="827" t="s">
        <v>469</v>
      </c>
      <c r="AQ23" s="827" t="s">
        <v>418</v>
      </c>
      <c r="AS23" s="827" t="s">
        <v>419</v>
      </c>
      <c r="AV23" s="830"/>
      <c r="AW23" s="830"/>
      <c r="AX23" s="830"/>
      <c r="AY23" s="830"/>
      <c r="AZ23" s="830"/>
      <c r="BA23" s="827">
        <v>0</v>
      </c>
    </row>
    <row r="24" spans="1:53" ht="14.25" hidden="1" customHeight="1">
      <c r="O24" s="767"/>
      <c r="AV24" s="200"/>
      <c r="AW24" s="200"/>
      <c r="AX24" s="200"/>
      <c r="AY24" s="200"/>
      <c r="AZ24" s="200"/>
      <c r="BA24" s="10">
        <v>0</v>
      </c>
    </row>
    <row r="25" spans="1:53" ht="14.25" hidden="1" customHeight="1">
      <c r="O25" s="767"/>
      <c r="AV25" s="200"/>
      <c r="AW25" s="200"/>
      <c r="AX25" s="200"/>
      <c r="AY25" s="200"/>
      <c r="AZ25" s="200"/>
      <c r="BA25" s="10">
        <v>0</v>
      </c>
    </row>
    <row r="26" spans="1:53" ht="14.65" customHeight="1">
      <c r="Q26" s="165"/>
      <c r="R26" s="27"/>
      <c r="S26" s="736"/>
      <c r="T26" s="9"/>
      <c r="U26" s="9"/>
      <c r="BA26" s="10">
        <v>14</v>
      </c>
    </row>
    <row r="27" spans="1:53" ht="27.4" customHeight="1">
      <c r="Q27" s="165"/>
      <c r="R27" s="27"/>
      <c r="S27" s="12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4"/>
      <c r="U27" s="1264"/>
      <c r="V27" s="1264"/>
      <c r="W27" s="1264"/>
      <c r="X27" s="1264"/>
      <c r="Y27" s="1264"/>
      <c r="Z27" s="1264"/>
      <c r="AA27" s="1264"/>
      <c r="AB27" s="1264"/>
      <c r="AC27" s="1264"/>
      <c r="AD27" s="1264"/>
      <c r="AE27" s="1264"/>
      <c r="AF27" s="1264"/>
      <c r="AG27" s="1264"/>
      <c r="AH27" s="1264"/>
      <c r="AI27" s="1264"/>
      <c r="AJ27" s="1264"/>
      <c r="AK27" s="1264"/>
      <c r="AL27" s="1264"/>
      <c r="AM27" s="1264"/>
      <c r="AN27" s="1264"/>
      <c r="AO27" s="1264"/>
      <c r="AP27" s="1264"/>
      <c r="AQ27" s="1264"/>
      <c r="AR27" s="1264"/>
      <c r="AS27" s="57"/>
      <c r="BA27" s="10">
        <v>26</v>
      </c>
    </row>
    <row r="28" spans="1:53" ht="14.65" customHeight="1">
      <c r="Q28" s="165"/>
      <c r="R28" s="27"/>
      <c r="S28" s="1236" t="str">
        <f>IF(org=0,"Не определено",org)</f>
        <v>Общество с ограниченной ответственностью "Березовский рудник"</v>
      </c>
      <c r="T28" s="1236"/>
      <c r="U28" s="1236"/>
      <c r="V28" s="1236"/>
      <c r="W28" s="1236"/>
      <c r="X28" s="1236"/>
      <c r="Y28" s="1236"/>
      <c r="Z28" s="1236"/>
      <c r="AA28" s="1236"/>
      <c r="AB28" s="1236"/>
      <c r="AC28" s="1236"/>
      <c r="AD28" s="1236"/>
      <c r="AE28" s="1236"/>
      <c r="AF28" s="1236"/>
      <c r="AG28" s="1236"/>
      <c r="AH28" s="1236"/>
      <c r="AI28" s="1236"/>
      <c r="AJ28" s="1236"/>
      <c r="AK28" s="1236"/>
      <c r="AL28" s="1236"/>
      <c r="AM28" s="1236"/>
      <c r="AN28" s="1236"/>
      <c r="AO28" s="1236"/>
      <c r="AP28" s="1236"/>
      <c r="AQ28" s="1236"/>
      <c r="AR28" s="1236"/>
      <c r="AS28" s="57"/>
      <c r="BA28" s="10">
        <v>14</v>
      </c>
    </row>
    <row r="29" spans="1:53" ht="14.25" hidden="1" customHeight="1">
      <c r="Q29" s="165"/>
      <c r="R29" s="27"/>
      <c r="S29" s="736"/>
      <c r="T29" s="9"/>
      <c r="U29" s="9"/>
      <c r="V29" s="186"/>
      <c r="W29" s="186"/>
      <c r="X29" s="186"/>
      <c r="Y29" s="186"/>
      <c r="Z29" s="186"/>
      <c r="AA29" s="186"/>
      <c r="AB29" s="186"/>
      <c r="AC29" s="186"/>
      <c r="AD29" s="186"/>
      <c r="AE29" s="186"/>
      <c r="AF29" s="186"/>
      <c r="AG29" s="186"/>
      <c r="AH29" s="186"/>
      <c r="AI29" s="186"/>
      <c r="AJ29" s="186"/>
      <c r="AK29" s="186"/>
      <c r="AL29" s="186"/>
      <c r="AM29" s="186"/>
      <c r="AN29" s="186"/>
      <c r="AO29" s="186"/>
      <c r="AP29" s="186"/>
      <c r="AQ29" s="186"/>
      <c r="AR29" s="186"/>
      <c r="AS29" s="186"/>
      <c r="BA29" s="10">
        <v>0</v>
      </c>
    </row>
    <row r="30" spans="1:53" s="34" customFormat="1" ht="25.5" hidden="1" customHeight="1">
      <c r="A30" s="79"/>
      <c r="B30" s="79"/>
      <c r="C30" s="79"/>
      <c r="D30" s="79"/>
      <c r="E30" s="79"/>
      <c r="F30" s="79"/>
      <c r="G30" s="79"/>
      <c r="H30" s="79"/>
      <c r="I30" s="79"/>
      <c r="J30" s="79"/>
      <c r="K30" s="79"/>
      <c r="L30" s="767"/>
      <c r="M30" s="79"/>
      <c r="N30" s="79"/>
      <c r="O30" s="79"/>
      <c r="P30" s="79"/>
      <c r="Q30" s="79"/>
      <c r="S30" s="1274" t="s">
        <v>41</v>
      </c>
      <c r="T30" s="1274"/>
      <c r="U30" s="770"/>
      <c r="V30" s="1276" t="str">
        <f>IF(TITLE_NAME_OR_PR_CHANGE="",IF(TITLE_NAME_OR_PR="","",TITLE_NAME_OR_PR),TITLE_NAME_OR_PR_CHANGE)</f>
        <v/>
      </c>
      <c r="W30" s="1276"/>
      <c r="X30" s="1276"/>
      <c r="Y30" s="1276"/>
      <c r="Z30" s="1276"/>
      <c r="AA30" s="10"/>
      <c r="AB30" s="1276" t="str">
        <f>IF(TITLE_NAME_OR_PR_CHANGE="",IF(TITLE_NAME_OR_PR="","",TITLE_NAME_OR_PR),TITLE_NAME_OR_PR_CHANGE)</f>
        <v/>
      </c>
      <c r="AC30" s="1276"/>
      <c r="AD30" s="1276"/>
      <c r="AE30" s="1276"/>
      <c r="AF30" s="1276"/>
      <c r="AG30" s="1276"/>
      <c r="AH30" s="1276"/>
      <c r="AI30" s="1276"/>
      <c r="AJ30" s="1276"/>
      <c r="AK30" s="1276"/>
      <c r="AL30" s="1276"/>
      <c r="AM30" s="1276"/>
      <c r="AN30" s="1276"/>
      <c r="AO30" s="1276"/>
      <c r="AP30" s="1276"/>
      <c r="AQ30" s="1276"/>
      <c r="AR30" s="1276"/>
      <c r="AS30" s="10"/>
      <c r="AT30" s="10"/>
      <c r="AU30" s="160"/>
      <c r="AV30" s="66"/>
      <c r="AW30" s="66"/>
      <c r="AX30" s="66"/>
      <c r="AY30" s="66"/>
      <c r="AZ30" s="66"/>
      <c r="BA30" s="34">
        <v>0</v>
      </c>
    </row>
    <row r="31" spans="1:53" s="34" customFormat="1" ht="18.75" hidden="1" customHeight="1">
      <c r="A31" s="79"/>
      <c r="B31" s="79"/>
      <c r="C31" s="79"/>
      <c r="D31" s="79"/>
      <c r="E31" s="79"/>
      <c r="F31" s="79"/>
      <c r="G31" s="79"/>
      <c r="H31" s="79"/>
      <c r="I31" s="79"/>
      <c r="J31" s="79"/>
      <c r="K31" s="79"/>
      <c r="L31" s="767"/>
      <c r="M31" s="79"/>
      <c r="N31" s="79"/>
      <c r="O31" s="79"/>
      <c r="P31" s="79"/>
      <c r="Q31" s="79"/>
      <c r="S31" s="1274" t="s">
        <v>421</v>
      </c>
      <c r="T31" s="1274"/>
      <c r="U31" s="770"/>
      <c r="V31" s="1275">
        <f>IF(TITLE_DATE_PR_CHANGE="",IF(TITLE_DATE_PR="","",TITLE_DATE_PR),TITLE_DATE_PR_CHANGE)</f>
        <v>45805</v>
      </c>
      <c r="W31" s="1275"/>
      <c r="X31" s="1275"/>
      <c r="Y31" s="1275"/>
      <c r="Z31" s="1275"/>
      <c r="AA31" s="10"/>
      <c r="AB31" s="1275">
        <f>IF(TITLE_DATE_PR_CHANGE="",IF(TITLE_DATE_PR="","",TITLE_DATE_PR),TITLE_DATE_PR_CHANGE)</f>
        <v>45805</v>
      </c>
      <c r="AC31" s="1275"/>
      <c r="AD31" s="1275"/>
      <c r="AE31" s="1275"/>
      <c r="AF31" s="1275"/>
      <c r="AG31" s="1275"/>
      <c r="AH31" s="1275"/>
      <c r="AI31" s="1275"/>
      <c r="AJ31" s="1275"/>
      <c r="AK31" s="1275"/>
      <c r="AL31" s="1275"/>
      <c r="AM31" s="1275"/>
      <c r="AN31" s="1275"/>
      <c r="AO31" s="1275"/>
      <c r="AP31" s="1275"/>
      <c r="AQ31" s="1275"/>
      <c r="AR31" s="1275"/>
      <c r="AS31" s="10"/>
      <c r="AT31" s="10"/>
      <c r="AU31" s="160"/>
      <c r="AV31" s="66"/>
      <c r="AW31" s="66"/>
      <c r="AX31" s="66"/>
      <c r="AY31" s="66"/>
      <c r="AZ31" s="66"/>
      <c r="BA31" s="34">
        <v>0</v>
      </c>
    </row>
    <row r="32" spans="1:53" s="34" customFormat="1" ht="18.75" hidden="1" customHeight="1">
      <c r="A32" s="79"/>
      <c r="B32" s="79"/>
      <c r="C32" s="79"/>
      <c r="D32" s="79"/>
      <c r="E32" s="79"/>
      <c r="F32" s="79"/>
      <c r="G32" s="79"/>
      <c r="H32" s="79"/>
      <c r="I32" s="79"/>
      <c r="J32" s="79"/>
      <c r="K32" s="79"/>
      <c r="L32" s="767"/>
      <c r="M32" s="79"/>
      <c r="N32" s="79"/>
      <c r="O32" s="79"/>
      <c r="P32" s="79"/>
      <c r="Q32" s="79"/>
      <c r="S32" s="1274" t="s">
        <v>422</v>
      </c>
      <c r="T32" s="1274"/>
      <c r="U32" s="770"/>
      <c r="V32" s="1276" t="str">
        <f>IF(TITLE_NUMBER_PR_CHANGE="",IF(TITLE_NUMBER_PR="","",TITLE_NUMBER_PR),TITLE_NUMBER_PR_CHANGE)</f>
        <v>2496</v>
      </c>
      <c r="W32" s="1276"/>
      <c r="X32" s="1276"/>
      <c r="Y32" s="1276"/>
      <c r="Z32" s="1276"/>
      <c r="AA32" s="10"/>
      <c r="AB32" s="1276" t="str">
        <f>IF(TITLE_NUMBER_PR_CHANGE="",IF(TITLE_NUMBER_PR="","",TITLE_NUMBER_PR),TITLE_NUMBER_PR_CHANGE)</f>
        <v>2496</v>
      </c>
      <c r="AC32" s="1276"/>
      <c r="AD32" s="1276"/>
      <c r="AE32" s="1276"/>
      <c r="AF32" s="1276"/>
      <c r="AG32" s="1276"/>
      <c r="AH32" s="1276"/>
      <c r="AI32" s="1276"/>
      <c r="AJ32" s="1276"/>
      <c r="AK32" s="1276"/>
      <c r="AL32" s="1276"/>
      <c r="AM32" s="1276"/>
      <c r="AN32" s="1276"/>
      <c r="AO32" s="1276"/>
      <c r="AP32" s="1276"/>
      <c r="AQ32" s="1276"/>
      <c r="AR32" s="1276"/>
      <c r="AS32" s="10"/>
      <c r="AT32" s="10"/>
      <c r="AU32" s="160"/>
      <c r="AV32" s="66"/>
      <c r="AW32" s="66"/>
      <c r="AX32" s="66"/>
      <c r="AY32" s="66"/>
      <c r="AZ32" s="66"/>
      <c r="BA32" s="34">
        <v>0</v>
      </c>
    </row>
    <row r="33" spans="1:53" s="34" customFormat="1" ht="18.75" hidden="1" customHeight="1">
      <c r="A33" s="79"/>
      <c r="B33" s="79"/>
      <c r="C33" s="79"/>
      <c r="D33" s="79"/>
      <c r="E33" s="79"/>
      <c r="F33" s="79"/>
      <c r="G33" s="79"/>
      <c r="H33" s="79"/>
      <c r="I33" s="79"/>
      <c r="J33" s="79"/>
      <c r="K33" s="79"/>
      <c r="L33" s="767"/>
      <c r="M33" s="79"/>
      <c r="N33" s="79"/>
      <c r="O33" s="79"/>
      <c r="P33" s="79"/>
      <c r="Q33" s="79"/>
      <c r="S33" s="1274" t="s">
        <v>42</v>
      </c>
      <c r="T33" s="1274"/>
      <c r="U33" s="770"/>
      <c r="V33" s="1276" t="str">
        <f>IF(TITLE_IST_PUB_CHANGE="",IF(TITLE_IST_PUB="","",TITLE_IST_PUB),TITLE_IST_PUB_CHANGE)</f>
        <v/>
      </c>
      <c r="W33" s="1276"/>
      <c r="X33" s="1276"/>
      <c r="Y33" s="1276"/>
      <c r="Z33" s="1276"/>
      <c r="AA33" s="10"/>
      <c r="AB33" s="1276" t="str">
        <f>IF(TITLE_IST_PUB_CHANGE="",IF(TITLE_IST_PUB="","",TITLE_IST_PUB),TITLE_IST_PUB_CHANGE)</f>
        <v/>
      </c>
      <c r="AC33" s="1276"/>
      <c r="AD33" s="1276"/>
      <c r="AE33" s="1276"/>
      <c r="AF33" s="1276"/>
      <c r="AG33" s="1276"/>
      <c r="AH33" s="1276"/>
      <c r="AI33" s="1276"/>
      <c r="AJ33" s="1276"/>
      <c r="AK33" s="1276"/>
      <c r="AL33" s="1276"/>
      <c r="AM33" s="1276"/>
      <c r="AN33" s="1276"/>
      <c r="AO33" s="1276"/>
      <c r="AP33" s="1276"/>
      <c r="AQ33" s="1276"/>
      <c r="AR33" s="1276"/>
      <c r="AS33" s="10"/>
      <c r="AT33" s="10"/>
      <c r="AU33" s="160"/>
      <c r="AV33" s="66"/>
      <c r="AW33" s="66"/>
      <c r="AX33" s="66"/>
      <c r="AY33" s="66"/>
      <c r="AZ33" s="66"/>
      <c r="BA33" s="34">
        <v>0</v>
      </c>
    </row>
    <row r="34" spans="1:53" ht="14.25" customHeight="1">
      <c r="Q34" s="165"/>
      <c r="R34" s="27"/>
      <c r="S34" s="736"/>
      <c r="T34" s="9"/>
      <c r="U34" s="9"/>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BA34" s="10">
        <v>0</v>
      </c>
    </row>
    <row r="35" spans="1:53" s="34" customFormat="1" ht="18.75" customHeight="1">
      <c r="A35" s="79"/>
      <c r="B35" s="79"/>
      <c r="C35" s="79"/>
      <c r="D35" s="79"/>
      <c r="E35" s="79"/>
      <c r="F35" s="79"/>
      <c r="G35" s="79"/>
      <c r="H35" s="79"/>
      <c r="I35" s="79"/>
      <c r="J35" s="79"/>
      <c r="K35" s="79"/>
      <c r="L35" s="767"/>
      <c r="M35" s="79"/>
      <c r="N35" s="79"/>
      <c r="O35" s="79"/>
      <c r="P35" s="79"/>
      <c r="Q35" s="79"/>
      <c r="S35" s="1274" t="s">
        <v>421</v>
      </c>
      <c r="T35" s="1274"/>
      <c r="U35" s="770"/>
      <c r="V35" s="1275">
        <f>IF(TITLE_DATE_PR_CHANGE="",IF(TITLE_DATE_PR="","",TITLE_DATE_PR),TITLE_DATE_PR_CHANGE)</f>
        <v>45805</v>
      </c>
      <c r="W35" s="1275"/>
      <c r="X35" s="1275"/>
      <c r="Y35" s="1275"/>
      <c r="Z35" s="1275"/>
      <c r="AA35" s="10"/>
      <c r="AB35" s="1275">
        <f>IF(TITLE_DATE_PR_CHANGE="",IF(TITLE_DATE_PR="","",TITLE_DATE_PR),TITLE_DATE_PR_CHANGE)</f>
        <v>45805</v>
      </c>
      <c r="AC35" s="1275"/>
      <c r="AD35" s="1275"/>
      <c r="AE35" s="1275"/>
      <c r="AF35" s="1275"/>
      <c r="AG35" s="1275"/>
      <c r="AH35" s="1275"/>
      <c r="AI35" s="1275"/>
      <c r="AJ35" s="1275"/>
      <c r="AK35" s="1275"/>
      <c r="AL35" s="1275"/>
      <c r="AM35" s="1275"/>
      <c r="AN35" s="1275"/>
      <c r="AO35" s="1275"/>
      <c r="AP35" s="1275"/>
      <c r="AQ35" s="1275"/>
      <c r="AR35" s="1275"/>
      <c r="AS35" s="10"/>
      <c r="AT35" s="10"/>
      <c r="AU35" s="160"/>
      <c r="AV35" s="66"/>
      <c r="AW35" s="66"/>
      <c r="AX35" s="66"/>
      <c r="AY35" s="66"/>
      <c r="AZ35" s="66"/>
      <c r="BA35" s="34">
        <v>0</v>
      </c>
    </row>
    <row r="36" spans="1:53" s="34" customFormat="1" ht="18" customHeight="1">
      <c r="A36" s="79"/>
      <c r="B36" s="79"/>
      <c r="C36" s="79"/>
      <c r="D36" s="79"/>
      <c r="E36" s="79"/>
      <c r="F36" s="79"/>
      <c r="G36" s="79"/>
      <c r="H36" s="79"/>
      <c r="I36" s="79"/>
      <c r="J36" s="79"/>
      <c r="K36" s="79"/>
      <c r="L36" s="767"/>
      <c r="M36" s="79"/>
      <c r="N36" s="79"/>
      <c r="O36" s="79"/>
      <c r="P36" s="79"/>
      <c r="Q36" s="79"/>
      <c r="S36" s="1274" t="s">
        <v>422</v>
      </c>
      <c r="T36" s="1274"/>
      <c r="U36" s="770"/>
      <c r="V36" s="1276" t="str">
        <f>IF(TITLE_NUMBER_PR_CHANGE="",IF(TITLE_NUMBER_PR="","",TITLE_NUMBER_PR),TITLE_NUMBER_PR_CHANGE)</f>
        <v>2496</v>
      </c>
      <c r="W36" s="1276"/>
      <c r="X36" s="1276"/>
      <c r="Y36" s="1276"/>
      <c r="Z36" s="1276"/>
      <c r="AA36" s="10"/>
      <c r="AB36" s="1276" t="str">
        <f>IF(TITLE_NUMBER_PR_CHANGE="",IF(TITLE_NUMBER_PR="","",TITLE_NUMBER_PR),TITLE_NUMBER_PR_CHANGE)</f>
        <v>2496</v>
      </c>
      <c r="AC36" s="1276"/>
      <c r="AD36" s="1276"/>
      <c r="AE36" s="1276"/>
      <c r="AF36" s="1276"/>
      <c r="AG36" s="1276"/>
      <c r="AH36" s="1276"/>
      <c r="AI36" s="1276"/>
      <c r="AJ36" s="1276"/>
      <c r="AK36" s="1276"/>
      <c r="AL36" s="1276"/>
      <c r="AM36" s="1276"/>
      <c r="AN36" s="1276"/>
      <c r="AO36" s="1276"/>
      <c r="AP36" s="1276"/>
      <c r="AQ36" s="1276"/>
      <c r="AR36" s="1276"/>
      <c r="AS36" s="10"/>
      <c r="AT36" s="10"/>
      <c r="AU36" s="160"/>
      <c r="AV36" s="66"/>
      <c r="AW36" s="66"/>
      <c r="AX36" s="66"/>
      <c r="AY36" s="66"/>
      <c r="AZ36" s="66"/>
      <c r="BA36" s="34">
        <v>0</v>
      </c>
    </row>
    <row r="37" spans="1:53" s="34" customFormat="1" ht="1.1499999999999999" customHeight="1">
      <c r="A37" s="79"/>
      <c r="B37" s="79"/>
      <c r="C37" s="79"/>
      <c r="D37" s="79"/>
      <c r="E37" s="79"/>
      <c r="F37" s="79"/>
      <c r="G37" s="79"/>
      <c r="H37" s="79"/>
      <c r="I37" s="79"/>
      <c r="J37" s="79"/>
      <c r="K37" s="79"/>
      <c r="L37" s="767"/>
      <c r="M37" s="79"/>
      <c r="N37" s="79"/>
      <c r="O37" s="79"/>
      <c r="P37" s="79"/>
      <c r="Q37" s="79"/>
      <c r="S37" s="10"/>
      <c r="T37" s="10"/>
      <c r="U37" s="75"/>
      <c r="V37" s="10"/>
      <c r="W37" s="10"/>
      <c r="X37" s="10"/>
      <c r="Y37" s="10"/>
      <c r="Z37" s="10"/>
      <c r="AA37" s="65" t="s">
        <v>425</v>
      </c>
      <c r="AB37" s="10"/>
      <c r="AC37" s="10"/>
      <c r="AD37" s="10"/>
      <c r="AE37" s="10"/>
      <c r="AF37" s="10"/>
      <c r="AG37" s="10"/>
      <c r="AH37" s="10"/>
      <c r="AI37" s="10"/>
      <c r="AJ37" s="10"/>
      <c r="AK37" s="10"/>
      <c r="AL37" s="10"/>
      <c r="AM37" s="10"/>
      <c r="AN37" s="10"/>
      <c r="AO37" s="10"/>
      <c r="AP37" s="10"/>
      <c r="AQ37" s="10"/>
      <c r="AR37" s="10"/>
      <c r="AS37" s="65" t="s">
        <v>425</v>
      </c>
      <c r="AV37" s="66"/>
      <c r="AW37" s="66"/>
      <c r="AX37" s="66"/>
      <c r="AY37" s="66"/>
      <c r="AZ37" s="66"/>
      <c r="BA37" s="34">
        <v>1</v>
      </c>
    </row>
    <row r="38" spans="1:53" ht="14.65" customHeight="1">
      <c r="Q38" s="165"/>
      <c r="R38" s="27"/>
      <c r="S38" s="736"/>
      <c r="T38" s="9"/>
      <c r="U38" s="717"/>
      <c r="V38" s="1295"/>
      <c r="W38" s="1295"/>
      <c r="X38" s="1295"/>
      <c r="Y38" s="1295"/>
      <c r="Z38" s="1295"/>
      <c r="AA38" s="1295"/>
      <c r="AB38" s="1295"/>
      <c r="AC38" s="1295"/>
      <c r="AD38" s="1295"/>
      <c r="AE38" s="1295"/>
      <c r="AF38" s="1295"/>
      <c r="AG38" s="1295"/>
      <c r="AH38" s="1295"/>
      <c r="AI38" s="1295"/>
      <c r="AJ38" s="1295"/>
      <c r="AK38" s="1295"/>
      <c r="AL38" s="1295"/>
      <c r="AM38" s="1295"/>
      <c r="AN38" s="1295"/>
      <c r="AO38" s="1295"/>
      <c r="AP38" s="1295"/>
      <c r="AQ38" s="1295"/>
      <c r="AR38" s="1295"/>
      <c r="AS38" s="1295"/>
      <c r="BA38" s="10">
        <v>14</v>
      </c>
    </row>
    <row r="39" spans="1:53" ht="14.65" customHeight="1">
      <c r="Q39" s="165"/>
      <c r="R39" s="27"/>
      <c r="S39" s="1146" t="s">
        <v>300</v>
      </c>
      <c r="T39" s="1146"/>
      <c r="U39" s="1146"/>
      <c r="V39" s="1146"/>
      <c r="W39" s="1146"/>
      <c r="X39" s="1146"/>
      <c r="Y39" s="1146"/>
      <c r="Z39" s="1146"/>
      <c r="AA39" s="1146"/>
      <c r="AB39" s="1216"/>
      <c r="AC39" s="1216"/>
      <c r="AD39" s="1216"/>
      <c r="AE39" s="1216"/>
      <c r="AF39" s="1146"/>
      <c r="AG39" s="1146"/>
      <c r="AH39" s="1146"/>
      <c r="AI39" s="1146"/>
      <c r="AJ39" s="1146"/>
      <c r="AK39" s="1146"/>
      <c r="AL39" s="1146"/>
      <c r="AM39" s="1146"/>
      <c r="AN39" s="1146"/>
      <c r="AO39" s="1146"/>
      <c r="AP39" s="1146"/>
      <c r="AQ39" s="1146"/>
      <c r="AR39" s="1146"/>
      <c r="AS39" s="1146"/>
      <c r="AT39" s="1146"/>
      <c r="AU39" s="1146" t="s">
        <v>301</v>
      </c>
      <c r="BA39" s="10">
        <v>14</v>
      </c>
    </row>
    <row r="40" spans="1:53" ht="14.65" customHeight="1">
      <c r="Q40" s="165"/>
      <c r="R40" s="27"/>
      <c r="S40" s="1296" t="s">
        <v>86</v>
      </c>
      <c r="T40" s="1244" t="s">
        <v>470</v>
      </c>
      <c r="U40" s="169"/>
      <c r="V40" s="1298"/>
      <c r="W40" s="1298"/>
      <c r="X40" s="1298"/>
      <c r="Y40" s="1298"/>
      <c r="Z40" s="1299"/>
      <c r="AA40" s="1345" t="s">
        <v>428</v>
      </c>
      <c r="AB40" s="1329" t="s">
        <v>471</v>
      </c>
      <c r="AC40" s="1313"/>
      <c r="AD40" s="1313"/>
      <c r="AE40" s="1330"/>
      <c r="AF40" s="1313" t="s">
        <v>472</v>
      </c>
      <c r="AG40" s="1313"/>
      <c r="AH40" s="1313"/>
      <c r="AI40" s="1330"/>
      <c r="AJ40" s="1329" t="s">
        <v>473</v>
      </c>
      <c r="AK40" s="1313"/>
      <c r="AL40" s="1313"/>
      <c r="AM40" s="1330"/>
      <c r="AN40" s="1329" t="s">
        <v>427</v>
      </c>
      <c r="AO40" s="1313"/>
      <c r="AP40" s="1298"/>
      <c r="AQ40" s="1298"/>
      <c r="AR40" s="1299"/>
      <c r="AS40" s="1300" t="s">
        <v>428</v>
      </c>
      <c r="AT40" s="1303" t="s">
        <v>430</v>
      </c>
      <c r="AU40" s="1146"/>
      <c r="BA40" s="10">
        <v>14</v>
      </c>
    </row>
    <row r="41" spans="1:53" ht="35.65" customHeight="1">
      <c r="Q41" s="165"/>
      <c r="R41" s="27"/>
      <c r="S41" s="1296"/>
      <c r="T41" s="1244"/>
      <c r="U41" s="604"/>
      <c r="V41" s="1146" t="s">
        <v>474</v>
      </c>
      <c r="W41" s="1146"/>
      <c r="X41" s="1217" t="s">
        <v>434</v>
      </c>
      <c r="Y41" s="1325"/>
      <c r="Z41" s="1218"/>
      <c r="AA41" s="1346"/>
      <c r="AB41" s="1331"/>
      <c r="AC41" s="1332"/>
      <c r="AD41" s="1332"/>
      <c r="AE41" s="1344"/>
      <c r="AF41" s="1332"/>
      <c r="AG41" s="1332"/>
      <c r="AH41" s="1332"/>
      <c r="AI41" s="1344"/>
      <c r="AJ41" s="1331"/>
      <c r="AK41" s="1332"/>
      <c r="AL41" s="1332"/>
      <c r="AM41" s="1332"/>
      <c r="AN41" s="1146" t="s">
        <v>474</v>
      </c>
      <c r="AO41" s="1146"/>
      <c r="AP41" s="1325" t="s">
        <v>434</v>
      </c>
      <c r="AQ41" s="1325"/>
      <c r="AR41" s="1218"/>
      <c r="AS41" s="1301"/>
      <c r="AT41" s="1304"/>
      <c r="AU41" s="1146"/>
      <c r="BA41" s="10">
        <v>34</v>
      </c>
    </row>
    <row r="42" spans="1:53" ht="14.65" customHeight="1">
      <c r="Q42" s="165"/>
      <c r="R42" s="27"/>
      <c r="S42" s="1296"/>
      <c r="T42" s="1244"/>
      <c r="U42" s="604"/>
      <c r="V42" s="1349" t="str">
        <f>IF($AN$42&lt;&gt;"",$AN$42,"")</f>
        <v/>
      </c>
      <c r="W42" s="1349"/>
      <c r="X42" s="1222"/>
      <c r="Y42" s="1326"/>
      <c r="Z42" s="1223"/>
      <c r="AA42" s="1346"/>
      <c r="AB42" s="1331"/>
      <c r="AC42" s="1332"/>
      <c r="AD42" s="1332"/>
      <c r="AE42" s="1344"/>
      <c r="AF42" s="1332"/>
      <c r="AG42" s="1332"/>
      <c r="AH42" s="1332"/>
      <c r="AI42" s="1344"/>
      <c r="AJ42" s="1331"/>
      <c r="AK42" s="1332"/>
      <c r="AL42" s="1332"/>
      <c r="AM42" s="1332"/>
      <c r="AN42" s="1348"/>
      <c r="AO42" s="1348"/>
      <c r="AP42" s="1326"/>
      <c r="AQ42" s="1326"/>
      <c r="AR42" s="1223"/>
      <c r="AS42" s="1301"/>
      <c r="AT42" s="1304"/>
      <c r="AU42" s="1146"/>
      <c r="BA42" s="10">
        <v>14</v>
      </c>
    </row>
    <row r="43" spans="1:53" ht="14.65" customHeight="1">
      <c r="A43" s="79"/>
      <c r="B43" s="79" t="s">
        <v>133</v>
      </c>
      <c r="C43" s="79" t="s">
        <v>134</v>
      </c>
      <c r="D43" s="79" t="s">
        <v>135</v>
      </c>
      <c r="E43" s="767" t="s">
        <v>435</v>
      </c>
      <c r="F43" s="767" t="s">
        <v>436</v>
      </c>
      <c r="G43" s="767" t="s">
        <v>437</v>
      </c>
      <c r="H43" s="767" t="s">
        <v>438</v>
      </c>
      <c r="I43" s="767" t="s">
        <v>439</v>
      </c>
      <c r="J43" s="767" t="s">
        <v>440</v>
      </c>
      <c r="K43" s="767" t="s">
        <v>441</v>
      </c>
      <c r="L43" s="767" t="s">
        <v>416</v>
      </c>
      <c r="Q43" s="165"/>
      <c r="R43" s="27"/>
      <c r="S43" s="1296"/>
      <c r="T43" s="1244"/>
      <c r="U43" s="170"/>
      <c r="V43" s="35" t="s">
        <v>475</v>
      </c>
      <c r="W43" s="35" t="s">
        <v>476</v>
      </c>
      <c r="X43" s="38" t="s">
        <v>444</v>
      </c>
      <c r="Y43" s="1249" t="s">
        <v>445</v>
      </c>
      <c r="Z43" s="1263"/>
      <c r="AA43" s="1347"/>
      <c r="AB43" s="1333"/>
      <c r="AC43" s="1334"/>
      <c r="AD43" s="1334"/>
      <c r="AE43" s="1335"/>
      <c r="AF43" s="1334"/>
      <c r="AG43" s="1334"/>
      <c r="AH43" s="1334"/>
      <c r="AI43" s="1335"/>
      <c r="AJ43" s="1333"/>
      <c r="AK43" s="1334"/>
      <c r="AL43" s="1334"/>
      <c r="AM43" s="1335"/>
      <c r="AN43" s="1004" t="s">
        <v>475</v>
      </c>
      <c r="AO43" s="1004" t="s">
        <v>476</v>
      </c>
      <c r="AP43" s="38" t="s">
        <v>444</v>
      </c>
      <c r="AQ43" s="1249" t="s">
        <v>445</v>
      </c>
      <c r="AR43" s="1263"/>
      <c r="AS43" s="1302"/>
      <c r="AT43" s="1305"/>
      <c r="AU43" s="1146"/>
      <c r="BA43" s="10">
        <v>14</v>
      </c>
    </row>
    <row r="44" spans="1:53" s="200" customFormat="1" ht="11.25" hidden="1" customHeight="1">
      <c r="A44" s="79"/>
      <c r="B44" s="79"/>
      <c r="C44" s="79"/>
      <c r="D44" s="79"/>
      <c r="E44" s="79"/>
      <c r="F44" s="79"/>
      <c r="G44" s="79"/>
      <c r="H44" s="79"/>
      <c r="I44" s="79"/>
      <c r="J44" s="79"/>
      <c r="K44" s="79"/>
      <c r="L44" s="767"/>
      <c r="M44" s="503"/>
      <c r="N44" s="503"/>
      <c r="O44" s="503"/>
      <c r="P44" s="287"/>
      <c r="Q44" s="722"/>
      <c r="R44" s="722">
        <v>1</v>
      </c>
      <c r="S44" s="738" t="s">
        <v>107</v>
      </c>
      <c r="T44" s="723" t="s">
        <v>108</v>
      </c>
      <c r="U44" s="718" t="str">
        <f ca="1">OFFSET(U44,0,-1)</f>
        <v>2</v>
      </c>
      <c r="V44" s="724">
        <f ca="1">OFFSET(V44,0,-1)+1</f>
        <v>3</v>
      </c>
      <c r="W44" s="724">
        <f ca="1">OFFSET(W44,0,-1)+1</f>
        <v>4</v>
      </c>
      <c r="X44" s="724">
        <f ca="1">OFFSET(X44,0,-1)+1</f>
        <v>5</v>
      </c>
      <c r="Y44" s="1294">
        <f ca="1">OFFSET(Y44,0,-1)+1</f>
        <v>6</v>
      </c>
      <c r="Z44" s="1294"/>
      <c r="AA44" s="724">
        <f ca="1">OFFSET(AA44,0,-2)+1</f>
        <v>7</v>
      </c>
      <c r="AB44" s="283">
        <f ca="1">OFFSET(AB44,0,-1)+1</f>
        <v>8</v>
      </c>
      <c r="AC44" s="283"/>
      <c r="AD44" s="283"/>
      <c r="AE44" s="283"/>
      <c r="AF44" s="724"/>
      <c r="AG44" s="724"/>
      <c r="AH44" s="724"/>
      <c r="AI44" s="724"/>
      <c r="AJ44" s="724"/>
      <c r="AK44" s="724"/>
      <c r="AL44" s="724"/>
      <c r="AM44" s="724"/>
      <c r="AN44" s="724">
        <f ca="1">OFFSET(AN44,0,-1)+1</f>
        <v>1</v>
      </c>
      <c r="AO44" s="724">
        <f ca="1">OFFSET(AO44,0,-1)+1</f>
        <v>2</v>
      </c>
      <c r="AP44" s="724">
        <f ca="1">OFFSET(AP44,0,-1)+1</f>
        <v>3</v>
      </c>
      <c r="AQ44" s="1294">
        <f ca="1">OFFSET(AQ44,0,-1)+1</f>
        <v>4</v>
      </c>
      <c r="AR44" s="1294"/>
      <c r="AS44" s="724">
        <f ca="1">OFFSET(AS44,0,-2)+1</f>
        <v>5</v>
      </c>
      <c r="AT44" s="718">
        <f ca="1">OFFSET(AT44,0,-1)</f>
        <v>5</v>
      </c>
      <c r="AU44" s="724">
        <f ca="1">OFFSET(AU44,0,-1)+1</f>
        <v>6</v>
      </c>
      <c r="AV44" s="65"/>
      <c r="AW44" s="65"/>
      <c r="AX44" s="65"/>
      <c r="AY44" s="65"/>
      <c r="AZ44" s="65"/>
      <c r="BA44" s="200">
        <v>0</v>
      </c>
    </row>
    <row r="45" spans="1:53" ht="107.25" customHeight="1">
      <c r="A45" s="766" t="s">
        <v>196</v>
      </c>
      <c r="B45" s="766"/>
      <c r="C45" s="766"/>
      <c r="D45" s="766"/>
      <c r="E45" s="1283">
        <v>1</v>
      </c>
      <c r="F45" s="766"/>
      <c r="G45" s="766"/>
      <c r="H45" s="766"/>
      <c r="I45" s="766"/>
      <c r="J45" s="766"/>
      <c r="K45" s="766"/>
      <c r="L45" s="767"/>
      <c r="M45" s="423"/>
      <c r="N45" s="423"/>
      <c r="O45" s="423"/>
      <c r="Q45" s="59"/>
      <c r="R45" s="204"/>
      <c r="S45" s="706">
        <f>INDEX(PT_DIFFERENTIATION_NUM_NTAR,MATCH(A45,PT_DIFFERENTIATION_NTAR_ID,0))</f>
        <v>0</v>
      </c>
      <c r="T45" s="64" t="s">
        <v>121</v>
      </c>
      <c r="U45" s="168"/>
      <c r="V45" s="1278"/>
      <c r="W45" s="1278"/>
      <c r="X45" s="1278"/>
      <c r="Y45" s="1278"/>
      <c r="Z45" s="1278"/>
      <c r="AA45" s="1279"/>
      <c r="AB45" s="1277" t="str">
        <f>INDEX(PT_DIFFERENTIATION_NTAR,MATCH(A45,PT_DIFFERENTIATION_NTAR_ID,0))</f>
        <v/>
      </c>
      <c r="AC45" s="1278"/>
      <c r="AD45" s="1278"/>
      <c r="AE45" s="1278"/>
      <c r="AF45" s="1278"/>
      <c r="AG45" s="1278"/>
      <c r="AH45" s="1278"/>
      <c r="AI45" s="1278"/>
      <c r="AJ45" s="1278"/>
      <c r="AK45" s="1278"/>
      <c r="AL45" s="1278"/>
      <c r="AM45" s="1278"/>
      <c r="AN45" s="1278"/>
      <c r="AO45" s="1278"/>
      <c r="AP45" s="1278"/>
      <c r="AQ45" s="1278"/>
      <c r="AR45" s="1278"/>
      <c r="AS45" s="1278"/>
      <c r="AT45" s="1279"/>
      <c r="AU45" s="72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6"/>
      <c r="AX45" s="66" t="str">
        <f t="shared" ref="AX45:AX51" si="2">IF(T45="","",T45)</f>
        <v>Наименование тарифа</v>
      </c>
      <c r="AY45" s="66"/>
      <c r="AZ45" s="66"/>
      <c r="BA45" s="10">
        <v>102</v>
      </c>
    </row>
    <row r="46" spans="1:53" ht="21.95" customHeight="1">
      <c r="A46" s="766" t="s">
        <v>196</v>
      </c>
      <c r="B46" s="766" t="s">
        <v>197</v>
      </c>
      <c r="C46" s="766"/>
      <c r="D46" s="766"/>
      <c r="E46" s="1284"/>
      <c r="F46" s="1283">
        <v>1</v>
      </c>
      <c r="G46" s="766"/>
      <c r="H46" s="766"/>
      <c r="I46" s="766"/>
      <c r="J46" s="766"/>
      <c r="K46" s="766"/>
      <c r="L46" s="767"/>
      <c r="M46" s="423"/>
      <c r="N46" s="423"/>
      <c r="O46" s="423"/>
      <c r="P46" s="298"/>
      <c r="Q46" s="799"/>
      <c r="R46" s="202"/>
      <c r="S46" s="706" t="str">
        <f>INDEX(PT_DIFFERENTIATION_NUM_TER,MATCH(B46,PT_DIFFERENTIATION_TER_ID,0))</f>
        <v>.</v>
      </c>
      <c r="T46" s="174" t="s">
        <v>397</v>
      </c>
      <c r="U46" s="168"/>
      <c r="V46" s="1278"/>
      <c r="W46" s="1278"/>
      <c r="X46" s="1278"/>
      <c r="Y46" s="1278"/>
      <c r="Z46" s="1278"/>
      <c r="AA46" s="1279"/>
      <c r="AB46" s="1277" t="str">
        <f>INDEX(PT_DIFFERENTIATION_TER,MATCH(B46,PT_DIFFERENTIATION_TER_ID,0))</f>
        <v/>
      </c>
      <c r="AC46" s="1278"/>
      <c r="AD46" s="1278"/>
      <c r="AE46" s="1278"/>
      <c r="AF46" s="1278"/>
      <c r="AG46" s="1278"/>
      <c r="AH46" s="1278"/>
      <c r="AI46" s="1278"/>
      <c r="AJ46" s="1278"/>
      <c r="AK46" s="1278"/>
      <c r="AL46" s="1278"/>
      <c r="AM46" s="1278"/>
      <c r="AN46" s="1278"/>
      <c r="AO46" s="1278"/>
      <c r="AP46" s="1278"/>
      <c r="AQ46" s="1278"/>
      <c r="AR46" s="1278"/>
      <c r="AS46" s="1278"/>
      <c r="AT46" s="1279"/>
      <c r="AU46" s="726" t="s">
        <v>398</v>
      </c>
      <c r="AW46" s="66"/>
      <c r="AX46" s="66" t="str">
        <f t="shared" si="2"/>
        <v>Территория действия тарифа</v>
      </c>
      <c r="AY46" s="66"/>
      <c r="AZ46" s="66"/>
      <c r="BA46" s="10">
        <v>21</v>
      </c>
    </row>
    <row r="47" spans="1:53" ht="24" customHeight="1">
      <c r="A47" s="766" t="s">
        <v>196</v>
      </c>
      <c r="B47" s="766" t="s">
        <v>197</v>
      </c>
      <c r="C47" s="766" t="s">
        <v>198</v>
      </c>
      <c r="D47" s="766"/>
      <c r="E47" s="1284"/>
      <c r="F47" s="1284"/>
      <c r="G47" s="1283">
        <v>1</v>
      </c>
      <c r="H47" s="766"/>
      <c r="I47" s="766"/>
      <c r="J47" s="766"/>
      <c r="K47" s="766"/>
      <c r="L47" s="767"/>
      <c r="M47" s="423"/>
      <c r="N47" s="423"/>
      <c r="O47" s="423"/>
      <c r="P47" s="128"/>
      <c r="Q47" s="799"/>
      <c r="R47" s="202"/>
      <c r="S47" s="706" t="str">
        <f>INDEX(PT_DIFFERENTIATION_NUM_CS,MATCH(C47,PT_DIFFERENTIATION_CS_ID,0))</f>
        <v>..</v>
      </c>
      <c r="T47" s="175" t="s">
        <v>399</v>
      </c>
      <c r="U47" s="168"/>
      <c r="V47" s="1278"/>
      <c r="W47" s="1278"/>
      <c r="X47" s="1278"/>
      <c r="Y47" s="1278"/>
      <c r="Z47" s="1278"/>
      <c r="AA47" s="1279"/>
      <c r="AB47" s="1277" t="str">
        <f>INDEX(PT_DIFFERENTIATION_CS,MATCH(C47,PT_DIFFERENTIATION_CS_ID,0))</f>
        <v/>
      </c>
      <c r="AC47" s="1278"/>
      <c r="AD47" s="1278"/>
      <c r="AE47" s="1278"/>
      <c r="AF47" s="1278"/>
      <c r="AG47" s="1278"/>
      <c r="AH47" s="1278"/>
      <c r="AI47" s="1278"/>
      <c r="AJ47" s="1278"/>
      <c r="AK47" s="1278"/>
      <c r="AL47" s="1278"/>
      <c r="AM47" s="1278"/>
      <c r="AN47" s="1278"/>
      <c r="AO47" s="1278"/>
      <c r="AP47" s="1278"/>
      <c r="AQ47" s="1278"/>
      <c r="AR47" s="1278"/>
      <c r="AS47" s="1278"/>
      <c r="AT47" s="1279"/>
      <c r="AU47" s="726" t="s">
        <v>400</v>
      </c>
      <c r="AW47" s="66"/>
      <c r="AX47" s="66" t="str">
        <f t="shared" si="2"/>
        <v xml:space="preserve">Наименование системы теплоснабжения </v>
      </c>
      <c r="AY47" s="66"/>
      <c r="AZ47" s="66"/>
      <c r="BA47" s="10">
        <v>23</v>
      </c>
    </row>
    <row r="48" spans="1:53" ht="21" customHeight="1">
      <c r="A48" s="766" t="s">
        <v>196</v>
      </c>
      <c r="B48" s="766" t="s">
        <v>197</v>
      </c>
      <c r="C48" s="766" t="s">
        <v>198</v>
      </c>
      <c r="D48" s="766" t="s">
        <v>199</v>
      </c>
      <c r="E48" s="1284"/>
      <c r="F48" s="1284"/>
      <c r="G48" s="1284"/>
      <c r="H48" s="1283">
        <v>1</v>
      </c>
      <c r="I48" s="766"/>
      <c r="J48" s="766"/>
      <c r="K48" s="766"/>
      <c r="L48" s="767"/>
      <c r="M48" s="423"/>
      <c r="N48" s="423"/>
      <c r="O48" s="423"/>
      <c r="P48" s="128"/>
      <c r="Q48" s="799"/>
      <c r="R48" s="202"/>
      <c r="S48" s="706" t="str">
        <f>INDEX(PT_DIFFERENTIATION_NUM_IST_TE,MATCH(D48,PT_DIFFERENTIATION_IST_TE_ID,0))</f>
        <v>...</v>
      </c>
      <c r="T48" s="176" t="s">
        <v>401</v>
      </c>
      <c r="U48" s="168"/>
      <c r="V48" s="1278"/>
      <c r="W48" s="1278"/>
      <c r="X48" s="1278"/>
      <c r="Y48" s="1278"/>
      <c r="Z48" s="1278"/>
      <c r="AA48" s="1279"/>
      <c r="AB48" s="1277" t="str">
        <f>INDEX(PT_DIFFERENTIATION_IST_TE,MATCH(D48,PT_DIFFERENTIATION_IST_TE_ID,0))</f>
        <v/>
      </c>
      <c r="AC48" s="1278"/>
      <c r="AD48" s="1278"/>
      <c r="AE48" s="1278"/>
      <c r="AF48" s="1278"/>
      <c r="AG48" s="1278"/>
      <c r="AH48" s="1278"/>
      <c r="AI48" s="1278"/>
      <c r="AJ48" s="1278"/>
      <c r="AK48" s="1278"/>
      <c r="AL48" s="1278"/>
      <c r="AM48" s="1278"/>
      <c r="AN48" s="1278"/>
      <c r="AO48" s="1278"/>
      <c r="AP48" s="1278"/>
      <c r="AQ48" s="1278"/>
      <c r="AR48" s="1278"/>
      <c r="AS48" s="1278"/>
      <c r="AT48" s="1279"/>
      <c r="AU48" s="726" t="s">
        <v>402</v>
      </c>
      <c r="AW48" s="66"/>
      <c r="AX48" s="66" t="str">
        <f t="shared" si="2"/>
        <v xml:space="preserve">Источник тепловой энергии  </v>
      </c>
      <c r="AY48" s="66"/>
      <c r="AZ48" s="66"/>
      <c r="BA48" s="10">
        <v>20</v>
      </c>
    </row>
    <row r="49" spans="1:53" s="65" customFormat="1" ht="1.1499999999999999" customHeight="1">
      <c r="A49" s="142" t="s">
        <v>196</v>
      </c>
      <c r="B49" s="142" t="s">
        <v>197</v>
      </c>
      <c r="C49" s="142" t="s">
        <v>198</v>
      </c>
      <c r="D49" s="142" t="s">
        <v>199</v>
      </c>
      <c r="E49" s="1284"/>
      <c r="F49" s="1284"/>
      <c r="G49" s="1284"/>
      <c r="H49" s="1284"/>
      <c r="I49" s="1285" t="str">
        <f>S48&amp;".1"</f>
        <v>....1</v>
      </c>
      <c r="J49" s="142"/>
      <c r="K49" s="142"/>
      <c r="L49" s="343" t="s">
        <v>403</v>
      </c>
      <c r="M49" s="287"/>
      <c r="N49" s="287"/>
      <c r="O49" s="287"/>
      <c r="P49" s="1287">
        <v>1</v>
      </c>
      <c r="Q49" s="119"/>
      <c r="R49" s="205"/>
      <c r="S49" s="359"/>
      <c r="T49" s="776"/>
      <c r="U49" s="777"/>
      <c r="V49" s="1315"/>
      <c r="W49" s="1315"/>
      <c r="X49" s="1315"/>
      <c r="Y49" s="1315"/>
      <c r="Z49" s="1315"/>
      <c r="AA49" s="1316"/>
      <c r="AB49" s="1314"/>
      <c r="AC49" s="1315"/>
      <c r="AD49" s="1315"/>
      <c r="AE49" s="1315"/>
      <c r="AF49" s="1315"/>
      <c r="AG49" s="1315"/>
      <c r="AH49" s="1315"/>
      <c r="AI49" s="1315"/>
      <c r="AJ49" s="1315"/>
      <c r="AK49" s="1315"/>
      <c r="AL49" s="1315"/>
      <c r="AM49" s="1315"/>
      <c r="AN49" s="1315"/>
      <c r="AO49" s="1315"/>
      <c r="AP49" s="1315"/>
      <c r="AQ49" s="1315"/>
      <c r="AR49" s="1315"/>
      <c r="AS49" s="1315"/>
      <c r="AT49" s="1316"/>
      <c r="AU49" s="778"/>
      <c r="AW49" s="66"/>
      <c r="AX49" s="66" t="str">
        <f t="shared" si="2"/>
        <v/>
      </c>
      <c r="AY49" s="66"/>
      <c r="AZ49" s="66"/>
      <c r="BA49" s="65">
        <v>1</v>
      </c>
    </row>
    <row r="50" spans="1:53" s="65" customFormat="1" ht="1.1499999999999999" customHeight="1">
      <c r="A50" s="142" t="s">
        <v>196</v>
      </c>
      <c r="B50" s="142" t="s">
        <v>197</v>
      </c>
      <c r="C50" s="142" t="s">
        <v>198</v>
      </c>
      <c r="D50" s="142" t="s">
        <v>199</v>
      </c>
      <c r="E50" s="1284"/>
      <c r="F50" s="1284"/>
      <c r="G50" s="1284"/>
      <c r="H50" s="1284"/>
      <c r="I50" s="1286"/>
      <c r="J50" s="1285" t="str">
        <f>S48&amp;".1"</f>
        <v>....1</v>
      </c>
      <c r="K50" s="142"/>
      <c r="L50" s="343"/>
      <c r="M50" s="287"/>
      <c r="N50" s="287"/>
      <c r="O50" s="287"/>
      <c r="P50" s="1287"/>
      <c r="Q50" s="1287">
        <v>1</v>
      </c>
      <c r="R50" s="206"/>
      <c r="S50" s="359"/>
      <c r="T50" s="791"/>
      <c r="U50" s="777"/>
      <c r="V50" s="1315"/>
      <c r="W50" s="1315"/>
      <c r="X50" s="1315"/>
      <c r="Y50" s="1315"/>
      <c r="Z50" s="1315"/>
      <c r="AA50" s="1316"/>
      <c r="AB50" s="1314"/>
      <c r="AC50" s="1315"/>
      <c r="AD50" s="1315"/>
      <c r="AE50" s="1315"/>
      <c r="AF50" s="1315"/>
      <c r="AG50" s="1315"/>
      <c r="AH50" s="1315"/>
      <c r="AI50" s="1315"/>
      <c r="AJ50" s="1315"/>
      <c r="AK50" s="1315"/>
      <c r="AL50" s="1315"/>
      <c r="AM50" s="1315"/>
      <c r="AN50" s="1315"/>
      <c r="AO50" s="1315"/>
      <c r="AP50" s="1315"/>
      <c r="AQ50" s="1315"/>
      <c r="AR50" s="1315"/>
      <c r="AS50" s="1315"/>
      <c r="AT50" s="1316"/>
      <c r="AU50" s="778"/>
      <c r="AW50" s="66"/>
      <c r="AX50" s="66" t="str">
        <f t="shared" si="2"/>
        <v/>
      </c>
      <c r="AY50" s="66"/>
      <c r="AZ50" s="66"/>
      <c r="BA50" s="65">
        <v>1</v>
      </c>
    </row>
    <row r="51" spans="1:53" ht="21.95" customHeight="1">
      <c r="A51" s="766" t="s">
        <v>196</v>
      </c>
      <c r="B51" s="766" t="s">
        <v>197</v>
      </c>
      <c r="C51" s="766" t="s">
        <v>198</v>
      </c>
      <c r="D51" s="766" t="s">
        <v>199</v>
      </c>
      <c r="E51" s="1284"/>
      <c r="F51" s="1284"/>
      <c r="G51" s="1284"/>
      <c r="H51" s="1284"/>
      <c r="I51" s="1286"/>
      <c r="J51" s="1286"/>
      <c r="K51" s="1285" t="str">
        <f>S48&amp;".1"</f>
        <v>....1</v>
      </c>
      <c r="L51" s="767"/>
      <c r="P51" s="1287"/>
      <c r="Q51" s="1287"/>
      <c r="R51" s="206">
        <v>1</v>
      </c>
      <c r="S51" s="1340" t="str">
        <f>$K51</f>
        <v>....1</v>
      </c>
      <c r="T51" s="1337"/>
      <c r="U51" s="168"/>
      <c r="V51" s="303"/>
      <c r="W51" s="725"/>
      <c r="X51" s="942"/>
      <c r="Y51" s="294" t="s">
        <v>64</v>
      </c>
      <c r="Z51" s="942"/>
      <c r="AA51" s="294" t="s">
        <v>64</v>
      </c>
      <c r="AB51" s="1156" t="s">
        <v>19</v>
      </c>
      <c r="AC51" s="1336"/>
      <c r="AD51" s="1240">
        <v>1</v>
      </c>
      <c r="AE51" s="1328" t="s">
        <v>28</v>
      </c>
      <c r="AF51" s="1156" t="s">
        <v>19</v>
      </c>
      <c r="AG51" s="1336"/>
      <c r="AH51" s="1240">
        <v>1</v>
      </c>
      <c r="AI51" s="1328" t="s">
        <v>28</v>
      </c>
      <c r="AJ51" s="1156" t="s">
        <v>19</v>
      </c>
      <c r="AK51" s="177"/>
      <c r="AL51" s="265">
        <v>1</v>
      </c>
      <c r="AM51" s="320"/>
      <c r="AN51" s="303"/>
      <c r="AO51" s="725"/>
      <c r="AP51" s="942"/>
      <c r="AQ51" s="294" t="s">
        <v>64</v>
      </c>
      <c r="AR51" s="942"/>
      <c r="AS51" s="294" t="s">
        <v>64</v>
      </c>
      <c r="AT51" s="763"/>
      <c r="AU51" s="1306" t="s">
        <v>477</v>
      </c>
      <c r="AV51" s="65" t="e">
        <f ca="1">STRCHECKDATE(V54:AT54)</f>
        <v>#NAME?</v>
      </c>
      <c r="AW51" s="66"/>
      <c r="AX51" s="66" t="str">
        <f t="shared" si="2"/>
        <v/>
      </c>
      <c r="AY51" s="66"/>
      <c r="AZ51" s="66"/>
      <c r="BA51" s="10">
        <v>21</v>
      </c>
    </row>
    <row r="52" spans="1:53" ht="11.45" customHeight="1">
      <c r="A52" s="766" t="s">
        <v>196</v>
      </c>
      <c r="B52" s="766"/>
      <c r="C52" s="766"/>
      <c r="D52" s="766"/>
      <c r="E52" s="1284"/>
      <c r="F52" s="1284"/>
      <c r="G52" s="1284"/>
      <c r="H52" s="1284"/>
      <c r="I52" s="1286"/>
      <c r="J52" s="1286"/>
      <c r="K52" s="1285"/>
      <c r="L52" s="767"/>
      <c r="P52" s="1287"/>
      <c r="Q52" s="1287"/>
      <c r="R52" s="206"/>
      <c r="S52" s="1341"/>
      <c r="T52" s="1338"/>
      <c r="U52" s="168"/>
      <c r="V52" s="786"/>
      <c r="W52" s="817"/>
      <c r="X52" s="786"/>
      <c r="Y52" s="786"/>
      <c r="Z52" s="786"/>
      <c r="AA52" s="786"/>
      <c r="AB52" s="1156"/>
      <c r="AC52" s="1336"/>
      <c r="AD52" s="1240"/>
      <c r="AE52" s="1328"/>
      <c r="AF52" s="1156"/>
      <c r="AG52" s="1336"/>
      <c r="AH52" s="1240"/>
      <c r="AI52" s="1328"/>
      <c r="AJ52" s="1156"/>
      <c r="AK52" s="181"/>
      <c r="AL52" s="51"/>
      <c r="AM52" s="107" t="s">
        <v>462</v>
      </c>
      <c r="AN52" s="786"/>
      <c r="AO52" s="817"/>
      <c r="AP52" s="786"/>
      <c r="AQ52" s="786"/>
      <c r="AR52" s="786"/>
      <c r="AS52" s="786"/>
      <c r="AT52" s="783"/>
      <c r="AU52" s="1307"/>
      <c r="AW52" s="66"/>
      <c r="AX52" s="66"/>
      <c r="AY52" s="66"/>
      <c r="AZ52" s="66"/>
      <c r="BA52" s="10">
        <v>11</v>
      </c>
    </row>
    <row r="53" spans="1:53" ht="11.45" customHeight="1">
      <c r="A53" s="766" t="s">
        <v>196</v>
      </c>
      <c r="B53" s="766"/>
      <c r="C53" s="766"/>
      <c r="D53" s="766"/>
      <c r="E53" s="1284"/>
      <c r="F53" s="1284"/>
      <c r="G53" s="1284"/>
      <c r="H53" s="1284"/>
      <c r="I53" s="1286"/>
      <c r="J53" s="1286"/>
      <c r="K53" s="1285"/>
      <c r="L53" s="767"/>
      <c r="P53" s="1287"/>
      <c r="Q53" s="1287"/>
      <c r="R53" s="206"/>
      <c r="S53" s="1341"/>
      <c r="T53" s="1338"/>
      <c r="U53" s="168"/>
      <c r="V53" s="786"/>
      <c r="W53" s="817"/>
      <c r="X53" s="786"/>
      <c r="Y53" s="786"/>
      <c r="Z53" s="786"/>
      <c r="AA53" s="786"/>
      <c r="AB53" s="1156"/>
      <c r="AC53" s="1336"/>
      <c r="AD53" s="1240"/>
      <c r="AE53" s="1328"/>
      <c r="AF53" s="1156"/>
      <c r="AG53" s="166"/>
      <c r="AH53" s="107"/>
      <c r="AI53" s="107" t="s">
        <v>463</v>
      </c>
      <c r="AJ53" s="786"/>
      <c r="AK53" s="786"/>
      <c r="AL53" s="786"/>
      <c r="AM53" s="786"/>
      <c r="AN53" s="786"/>
      <c r="AO53" s="817"/>
      <c r="AP53" s="786"/>
      <c r="AQ53" s="786"/>
      <c r="AR53" s="786"/>
      <c r="AS53" s="786"/>
      <c r="AT53" s="783"/>
      <c r="AU53" s="1307"/>
      <c r="AW53" s="66"/>
      <c r="AX53" s="66"/>
      <c r="AY53" s="66"/>
      <c r="AZ53" s="66"/>
      <c r="BA53" s="10">
        <v>11</v>
      </c>
    </row>
    <row r="54" spans="1:53" ht="11.45" customHeight="1">
      <c r="A54" s="766" t="s">
        <v>196</v>
      </c>
      <c r="B54" s="766" t="s">
        <v>197</v>
      </c>
      <c r="C54" s="766" t="s">
        <v>198</v>
      </c>
      <c r="D54" s="766" t="s">
        <v>199</v>
      </c>
      <c r="E54" s="1284"/>
      <c r="F54" s="1284"/>
      <c r="G54" s="1284"/>
      <c r="H54" s="1284"/>
      <c r="I54" s="1286"/>
      <c r="J54" s="1286"/>
      <c r="K54" s="1285"/>
      <c r="L54" s="767"/>
      <c r="P54" s="1287"/>
      <c r="Q54" s="1287"/>
      <c r="R54" s="206"/>
      <c r="S54" s="1342"/>
      <c r="T54" s="1339"/>
      <c r="U54" s="168"/>
      <c r="V54" s="786"/>
      <c r="W54" s="787" t="str">
        <f>X51&amp;"-"&amp;Z51</f>
        <v>-</v>
      </c>
      <c r="X54" s="786"/>
      <c r="Y54" s="786"/>
      <c r="Z54" s="786"/>
      <c r="AA54" s="786"/>
      <c r="AB54" s="1156"/>
      <c r="AC54" s="178"/>
      <c r="AD54" s="180"/>
      <c r="AE54" s="107" t="s">
        <v>464</v>
      </c>
      <c r="AF54" s="786"/>
      <c r="AG54" s="786"/>
      <c r="AH54" s="786"/>
      <c r="AI54" s="786"/>
      <c r="AJ54" s="786"/>
      <c r="AK54" s="786"/>
      <c r="AL54" s="786"/>
      <c r="AM54" s="786"/>
      <c r="AN54" s="786"/>
      <c r="AO54" s="787" t="str">
        <f>AP51&amp;"-"&amp;AR51</f>
        <v>-</v>
      </c>
      <c r="AP54" s="786"/>
      <c r="AQ54" s="786"/>
      <c r="AR54" s="786"/>
      <c r="AS54" s="786"/>
      <c r="AT54" s="764"/>
      <c r="AU54" s="1307"/>
      <c r="AW54" s="66"/>
      <c r="AX54" s="66" t="str">
        <f t="shared" ref="AX54:AX62" si="3">IF(T54="","",T54)</f>
        <v/>
      </c>
      <c r="AY54" s="66"/>
      <c r="AZ54" s="66"/>
      <c r="BA54" s="10">
        <v>11</v>
      </c>
    </row>
    <row r="55" spans="1:53" ht="11.45" customHeight="1">
      <c r="A55" s="766" t="s">
        <v>196</v>
      </c>
      <c r="B55" s="766" t="s">
        <v>197</v>
      </c>
      <c r="C55" s="766" t="s">
        <v>198</v>
      </c>
      <c r="D55" s="766" t="s">
        <v>199</v>
      </c>
      <c r="E55" s="1284"/>
      <c r="F55" s="1284"/>
      <c r="G55" s="1284"/>
      <c r="H55" s="1284"/>
      <c r="I55" s="1286"/>
      <c r="J55" s="1285"/>
      <c r="K55" s="766"/>
      <c r="L55" s="767"/>
      <c r="P55" s="1287"/>
      <c r="Q55" s="1287"/>
      <c r="R55" s="205"/>
      <c r="S55" s="739"/>
      <c r="T55" s="163" t="s">
        <v>465</v>
      </c>
      <c r="U55" s="210"/>
      <c r="V55" s="210"/>
      <c r="W55" s="210"/>
      <c r="X55" s="210"/>
      <c r="Y55" s="210"/>
      <c r="Z55" s="210"/>
      <c r="AA55" s="187"/>
      <c r="AB55" s="825"/>
      <c r="AC55" s="210"/>
      <c r="AD55" s="210"/>
      <c r="AE55" s="210"/>
      <c r="AF55" s="210"/>
      <c r="AG55" s="210"/>
      <c r="AH55" s="210"/>
      <c r="AI55" s="210"/>
      <c r="AJ55" s="210"/>
      <c r="AK55" s="210"/>
      <c r="AL55" s="210"/>
      <c r="AM55" s="210"/>
      <c r="AN55" s="210"/>
      <c r="AO55" s="210"/>
      <c r="AP55" s="210"/>
      <c r="AQ55" s="210"/>
      <c r="AR55" s="210"/>
      <c r="AS55" s="210"/>
      <c r="AT55" s="187"/>
      <c r="AU55" s="1308"/>
      <c r="AW55" s="66"/>
      <c r="AX55" s="66" t="str">
        <f t="shared" si="3"/>
        <v>Добавить строку</v>
      </c>
      <c r="AY55" s="66"/>
      <c r="AZ55" s="66"/>
      <c r="BA55" s="10">
        <v>11</v>
      </c>
    </row>
    <row r="56" spans="1:53" s="65" customFormat="1" ht="1.1499999999999999" customHeight="1">
      <c r="A56" s="142" t="s">
        <v>196</v>
      </c>
      <c r="B56" s="142" t="s">
        <v>197</v>
      </c>
      <c r="C56" s="142" t="s">
        <v>198</v>
      </c>
      <c r="D56" s="142" t="s">
        <v>199</v>
      </c>
      <c r="E56" s="1284"/>
      <c r="F56" s="1284"/>
      <c r="G56" s="1284"/>
      <c r="H56" s="1284"/>
      <c r="I56" s="1285"/>
      <c r="J56" s="142"/>
      <c r="K56" s="142"/>
      <c r="L56" s="343"/>
      <c r="M56" s="287"/>
      <c r="N56" s="287"/>
      <c r="O56" s="287"/>
      <c r="P56" s="1287"/>
      <c r="Q56" s="119"/>
      <c r="R56" s="205"/>
      <c r="S56" s="779"/>
      <c r="T56" s="780" t="s">
        <v>412</v>
      </c>
      <c r="U56" s="781"/>
      <c r="V56" s="781"/>
      <c r="W56" s="781"/>
      <c r="X56" s="781"/>
      <c r="Y56" s="781"/>
      <c r="Z56" s="781"/>
      <c r="AA56" s="781"/>
      <c r="AB56" s="781"/>
      <c r="AC56" s="781"/>
      <c r="AD56" s="781"/>
      <c r="AE56" s="781"/>
      <c r="AF56" s="781"/>
      <c r="AG56" s="781"/>
      <c r="AH56" s="781"/>
      <c r="AI56" s="781"/>
      <c r="AJ56" s="781"/>
      <c r="AK56" s="781"/>
      <c r="AL56" s="781"/>
      <c r="AM56" s="781"/>
      <c r="AN56" s="781"/>
      <c r="AO56" s="781"/>
      <c r="AP56" s="781"/>
      <c r="AQ56" s="781"/>
      <c r="AR56" s="781"/>
      <c r="AS56" s="781"/>
      <c r="AT56" s="781"/>
      <c r="AU56" s="782"/>
      <c r="AW56" s="66"/>
      <c r="AX56" s="66" t="str">
        <f t="shared" si="3"/>
        <v>Добавить группу потребителей</v>
      </c>
      <c r="AY56" s="66"/>
      <c r="AZ56" s="66"/>
      <c r="BA56" s="65">
        <v>1</v>
      </c>
    </row>
    <row r="57" spans="1:53" s="200" customFormat="1" ht="1.1499999999999999" customHeight="1">
      <c r="A57" s="142" t="s">
        <v>196</v>
      </c>
      <c r="B57" s="142" t="s">
        <v>197</v>
      </c>
      <c r="C57" s="142" t="s">
        <v>198</v>
      </c>
      <c r="D57" s="142" t="s">
        <v>199</v>
      </c>
      <c r="E57" s="1284"/>
      <c r="F57" s="1284"/>
      <c r="G57" s="1284"/>
      <c r="H57" s="1283"/>
      <c r="I57" s="142"/>
      <c r="J57" s="142"/>
      <c r="K57" s="142"/>
      <c r="L57" s="343"/>
      <c r="M57" s="290"/>
      <c r="N57" s="290"/>
      <c r="O57" s="65"/>
      <c r="P57" s="101"/>
      <c r="Q57" s="752"/>
      <c r="R57" s="792"/>
      <c r="S57" s="779"/>
      <c r="T57" s="780"/>
      <c r="U57" s="781"/>
      <c r="V57" s="781"/>
      <c r="W57" s="781"/>
      <c r="X57" s="781"/>
      <c r="Y57" s="781"/>
      <c r="Z57" s="781"/>
      <c r="AA57" s="781"/>
      <c r="AB57" s="781"/>
      <c r="AC57" s="781"/>
      <c r="AD57" s="781"/>
      <c r="AE57" s="781"/>
      <c r="AF57" s="781"/>
      <c r="AG57" s="781"/>
      <c r="AH57" s="781"/>
      <c r="AI57" s="781"/>
      <c r="AJ57" s="781"/>
      <c r="AK57" s="781"/>
      <c r="AL57" s="781"/>
      <c r="AM57" s="781"/>
      <c r="AN57" s="781"/>
      <c r="AO57" s="781"/>
      <c r="AP57" s="781"/>
      <c r="AQ57" s="781"/>
      <c r="AR57" s="781"/>
      <c r="AS57" s="781"/>
      <c r="AT57" s="781"/>
      <c r="AU57" s="782"/>
      <c r="AV57" s="65"/>
      <c r="AW57" s="66"/>
      <c r="AX57" s="66" t="str">
        <f t="shared" si="3"/>
        <v/>
      </c>
      <c r="AY57" s="66"/>
      <c r="AZ57" s="66"/>
      <c r="BA57" s="200">
        <v>1</v>
      </c>
    </row>
    <row r="58" spans="1:53" s="65" customFormat="1" ht="1.1499999999999999" customHeight="1">
      <c r="A58" s="142" t="s">
        <v>196</v>
      </c>
      <c r="B58" s="142" t="s">
        <v>197</v>
      </c>
      <c r="C58" s="142" t="s">
        <v>198</v>
      </c>
      <c r="D58" s="142"/>
      <c r="E58" s="1284"/>
      <c r="F58" s="1284"/>
      <c r="G58" s="1283"/>
      <c r="H58" s="142"/>
      <c r="I58" s="142"/>
      <c r="J58" s="142"/>
      <c r="K58" s="142"/>
      <c r="L58" s="343"/>
      <c r="M58" s="290"/>
      <c r="N58" s="290"/>
      <c r="P58" s="101"/>
      <c r="Q58" s="752"/>
      <c r="R58" s="101"/>
      <c r="S58" s="757"/>
      <c r="T58" s="759" t="s">
        <v>414</v>
      </c>
      <c r="U58" s="310"/>
      <c r="V58" s="310"/>
      <c r="W58" s="310"/>
      <c r="X58" s="310"/>
      <c r="Y58" s="310"/>
      <c r="Z58" s="310"/>
      <c r="AA58" s="310"/>
      <c r="AB58" s="310"/>
      <c r="AC58" s="310"/>
      <c r="AD58" s="310"/>
      <c r="AE58" s="310"/>
      <c r="AF58" s="310"/>
      <c r="AG58" s="310"/>
      <c r="AH58" s="310"/>
      <c r="AI58" s="310"/>
      <c r="AJ58" s="310"/>
      <c r="AK58" s="310"/>
      <c r="AL58" s="310"/>
      <c r="AM58" s="310"/>
      <c r="AN58" s="310"/>
      <c r="AO58" s="310"/>
      <c r="AP58" s="310"/>
      <c r="AQ58" s="310"/>
      <c r="AR58" s="310"/>
      <c r="AS58" s="310"/>
      <c r="AT58" s="310"/>
      <c r="AU58" s="310"/>
      <c r="AW58" s="66"/>
      <c r="AX58" s="66" t="str">
        <f t="shared" si="3"/>
        <v>Добавить источник для дифференциации</v>
      </c>
      <c r="AY58" s="66"/>
      <c r="AZ58" s="66"/>
      <c r="BA58" s="65">
        <v>1</v>
      </c>
    </row>
    <row r="59" spans="1:53" s="65" customFormat="1" ht="1.1499999999999999" customHeight="1">
      <c r="A59" s="142" t="s">
        <v>196</v>
      </c>
      <c r="B59" s="142" t="s">
        <v>197</v>
      </c>
      <c r="C59" s="142"/>
      <c r="D59" s="142"/>
      <c r="E59" s="1284"/>
      <c r="F59" s="1283"/>
      <c r="G59" s="142"/>
      <c r="H59" s="142"/>
      <c r="I59" s="142"/>
      <c r="J59" s="142"/>
      <c r="K59" s="142"/>
      <c r="L59" s="343"/>
      <c r="M59" s="756"/>
      <c r="N59" s="756"/>
      <c r="P59" s="101"/>
      <c r="Q59" s="752"/>
      <c r="R59" s="101"/>
      <c r="S59" s="757"/>
      <c r="T59" s="759" t="s">
        <v>231</v>
      </c>
      <c r="U59" s="310"/>
      <c r="V59" s="310"/>
      <c r="W59" s="310"/>
      <c r="X59" s="310"/>
      <c r="Y59" s="310"/>
      <c r="Z59" s="310"/>
      <c r="AA59" s="310"/>
      <c r="AB59" s="310"/>
      <c r="AC59" s="310"/>
      <c r="AD59" s="310"/>
      <c r="AE59" s="310"/>
      <c r="AF59" s="310"/>
      <c r="AG59" s="310"/>
      <c r="AH59" s="310"/>
      <c r="AI59" s="310"/>
      <c r="AJ59" s="310"/>
      <c r="AK59" s="310"/>
      <c r="AL59" s="310"/>
      <c r="AM59" s="310"/>
      <c r="AN59" s="310"/>
      <c r="AO59" s="310"/>
      <c r="AP59" s="310"/>
      <c r="AQ59" s="310"/>
      <c r="AR59" s="310"/>
      <c r="AS59" s="310"/>
      <c r="AT59" s="310"/>
      <c r="AU59" s="310"/>
      <c r="AW59" s="66"/>
      <c r="AX59" s="66" t="str">
        <f t="shared" si="3"/>
        <v>Добавить централизованную систему для дифференциации</v>
      </c>
      <c r="AY59" s="66"/>
      <c r="AZ59" s="66"/>
      <c r="BA59" s="65">
        <v>1</v>
      </c>
    </row>
    <row r="60" spans="1:53" s="65" customFormat="1" ht="1.1499999999999999" customHeight="1">
      <c r="A60" s="142" t="s">
        <v>196</v>
      </c>
      <c r="B60" s="142"/>
      <c r="C60" s="142"/>
      <c r="D60" s="142"/>
      <c r="E60" s="1284"/>
      <c r="F60" s="142"/>
      <c r="G60" s="142"/>
      <c r="H60" s="142"/>
      <c r="I60" s="142"/>
      <c r="J60" s="142"/>
      <c r="K60" s="142"/>
      <c r="L60" s="343"/>
      <c r="M60" s="756"/>
      <c r="N60" s="756"/>
      <c r="P60" s="101"/>
      <c r="Q60" s="752"/>
      <c r="R60" s="101"/>
      <c r="S60" s="757"/>
      <c r="T60" s="759" t="s">
        <v>232</v>
      </c>
      <c r="U60" s="310"/>
      <c r="V60" s="310"/>
      <c r="W60" s="310"/>
      <c r="X60" s="310"/>
      <c r="Y60" s="310"/>
      <c r="Z60" s="310"/>
      <c r="AA60" s="310"/>
      <c r="AB60" s="310"/>
      <c r="AC60" s="310"/>
      <c r="AD60" s="310"/>
      <c r="AE60" s="310"/>
      <c r="AF60" s="310"/>
      <c r="AG60" s="310"/>
      <c r="AH60" s="310"/>
      <c r="AI60" s="310"/>
      <c r="AJ60" s="310"/>
      <c r="AK60" s="310"/>
      <c r="AL60" s="310"/>
      <c r="AM60" s="310"/>
      <c r="AN60" s="310"/>
      <c r="AO60" s="310"/>
      <c r="AP60" s="310"/>
      <c r="AQ60" s="310"/>
      <c r="AR60" s="310"/>
      <c r="AS60" s="310"/>
      <c r="AT60" s="310"/>
      <c r="AU60" s="310"/>
      <c r="AW60" s="66"/>
      <c r="AX60" s="66" t="str">
        <f t="shared" si="3"/>
        <v>Добавить территорию для дифференциации</v>
      </c>
      <c r="AY60" s="66"/>
      <c r="AZ60" s="66"/>
      <c r="BA60" s="65">
        <v>1</v>
      </c>
    </row>
    <row r="61" spans="1:53" s="65" customFormat="1" ht="1.1499999999999999" customHeight="1">
      <c r="A61" s="142" t="s">
        <v>196</v>
      </c>
      <c r="B61" s="142"/>
      <c r="C61" s="142"/>
      <c r="D61" s="142"/>
      <c r="E61" s="1283"/>
      <c r="F61" s="142"/>
      <c r="G61" s="142"/>
      <c r="H61" s="142"/>
      <c r="I61" s="142"/>
      <c r="J61" s="142"/>
      <c r="K61" s="142"/>
      <c r="L61" s="343"/>
      <c r="M61" s="756"/>
      <c r="N61" s="756"/>
      <c r="P61" s="101"/>
      <c r="Q61" s="752"/>
      <c r="R61" s="101"/>
      <c r="S61" s="757"/>
      <c r="T61" s="759" t="s">
        <v>232</v>
      </c>
      <c r="U61" s="310"/>
      <c r="V61" s="310"/>
      <c r="W61" s="310"/>
      <c r="X61" s="310"/>
      <c r="Y61" s="310"/>
      <c r="Z61" s="310"/>
      <c r="AA61" s="310"/>
      <c r="AB61" s="310"/>
      <c r="AC61" s="310"/>
      <c r="AD61" s="310"/>
      <c r="AE61" s="310"/>
      <c r="AF61" s="310"/>
      <c r="AG61" s="310"/>
      <c r="AH61" s="310"/>
      <c r="AI61" s="310"/>
      <c r="AJ61" s="310"/>
      <c r="AK61" s="310"/>
      <c r="AL61" s="310"/>
      <c r="AM61" s="310"/>
      <c r="AN61" s="310"/>
      <c r="AO61" s="310"/>
      <c r="AP61" s="310"/>
      <c r="AQ61" s="310"/>
      <c r="AR61" s="310"/>
      <c r="AS61" s="310"/>
      <c r="AT61" s="310"/>
      <c r="AU61" s="310"/>
      <c r="AW61" s="66"/>
      <c r="AX61" s="66" t="str">
        <f t="shared" si="3"/>
        <v>Добавить территорию для дифференциации</v>
      </c>
      <c r="AY61" s="66"/>
      <c r="AZ61" s="66"/>
      <c r="BA61" s="65">
        <v>1</v>
      </c>
    </row>
    <row r="62" spans="1:53" s="65" customFormat="1" ht="1.1499999999999999" customHeight="1">
      <c r="A62" s="142"/>
      <c r="B62" s="142"/>
      <c r="C62" s="142"/>
      <c r="D62" s="142"/>
      <c r="E62" s="142"/>
      <c r="F62" s="142"/>
      <c r="G62" s="142"/>
      <c r="H62" s="142"/>
      <c r="I62" s="142"/>
      <c r="J62" s="142"/>
      <c r="K62" s="142"/>
      <c r="L62" s="343"/>
      <c r="M62" s="756"/>
      <c r="N62" s="756"/>
      <c r="P62" s="101"/>
      <c r="Q62" s="752"/>
      <c r="R62" s="101"/>
      <c r="S62" s="757"/>
      <c r="T62" s="759" t="s">
        <v>233</v>
      </c>
      <c r="U62" s="310"/>
      <c r="V62" s="310"/>
      <c r="W62" s="310"/>
      <c r="X62" s="310"/>
      <c r="Y62" s="310"/>
      <c r="Z62" s="310"/>
      <c r="AA62" s="310"/>
      <c r="AB62" s="310"/>
      <c r="AC62" s="310"/>
      <c r="AD62" s="310"/>
      <c r="AE62" s="310"/>
      <c r="AF62" s="310"/>
      <c r="AG62" s="310"/>
      <c r="AH62" s="310"/>
      <c r="AI62" s="310"/>
      <c r="AJ62" s="310"/>
      <c r="AK62" s="310"/>
      <c r="AL62" s="310"/>
      <c r="AM62" s="310"/>
      <c r="AN62" s="310"/>
      <c r="AO62" s="310"/>
      <c r="AP62" s="310"/>
      <c r="AQ62" s="310"/>
      <c r="AR62" s="310"/>
      <c r="AS62" s="310"/>
      <c r="AT62" s="310"/>
      <c r="AU62" s="310"/>
      <c r="AW62" s="66"/>
      <c r="AX62" s="66" t="str">
        <f t="shared" si="3"/>
        <v>Добавить наименование тарифа</v>
      </c>
      <c r="AY62" s="66"/>
      <c r="AZ62" s="66"/>
      <c r="BA62" s="65">
        <v>1</v>
      </c>
    </row>
    <row r="63" spans="1:53" ht="11.45" customHeight="1">
      <c r="M63" s="60"/>
      <c r="N63" s="60"/>
      <c r="O63" s="60"/>
      <c r="P63" s="60"/>
      <c r="Q63" s="60"/>
      <c r="R63" s="10"/>
      <c r="S63" s="10"/>
      <c r="AV63" s="10"/>
      <c r="AW63" s="10"/>
      <c r="AX63" s="10"/>
      <c r="AY63" s="10"/>
      <c r="AZ63" s="10"/>
      <c r="BA63" s="10">
        <v>11</v>
      </c>
    </row>
    <row r="64" spans="1:53" ht="19.899999999999999" customHeight="1">
      <c r="O64" s="60"/>
      <c r="S64" s="195"/>
      <c r="T64" s="1282"/>
      <c r="U64" s="1282"/>
      <c r="V64" s="1282"/>
      <c r="W64" s="1282"/>
      <c r="X64" s="1282"/>
      <c r="Y64" s="1282"/>
      <c r="Z64" s="1282"/>
      <c r="AA64" s="1282"/>
      <c r="AB64" s="1282"/>
      <c r="AC64" s="1282"/>
      <c r="AD64" s="1282"/>
      <c r="AE64" s="1282"/>
      <c r="AF64" s="1282"/>
      <c r="AG64" s="1282"/>
      <c r="AH64" s="1282"/>
      <c r="AI64" s="1282"/>
      <c r="AJ64" s="1282"/>
      <c r="AK64" s="1282"/>
      <c r="AL64" s="1282"/>
      <c r="AM64" s="1282"/>
      <c r="AN64" s="1282"/>
      <c r="AO64" s="1282"/>
      <c r="AP64" s="1282"/>
      <c r="AQ64" s="1282"/>
      <c r="AR64" s="1282"/>
      <c r="AS64" s="1282"/>
      <c r="AT64" s="1282"/>
      <c r="AU64" s="1282"/>
      <c r="BA64" s="10">
        <v>19</v>
      </c>
    </row>
    <row r="65" spans="1:53" ht="21" customHeight="1">
      <c r="O65" s="60"/>
      <c r="T65" s="1282"/>
      <c r="U65" s="1282"/>
      <c r="V65" s="1282"/>
      <c r="W65" s="1282"/>
      <c r="X65" s="1282"/>
      <c r="Y65" s="1282"/>
      <c r="Z65" s="1282"/>
      <c r="AA65" s="1282"/>
      <c r="AB65" s="1282"/>
      <c r="AC65" s="1282"/>
      <c r="AD65" s="1282"/>
      <c r="AE65" s="1282"/>
      <c r="AF65" s="1282"/>
      <c r="AG65" s="1282"/>
      <c r="AH65" s="1282"/>
      <c r="AI65" s="1282"/>
      <c r="AJ65" s="1282"/>
      <c r="AK65" s="1282"/>
      <c r="AL65" s="1282"/>
      <c r="AM65" s="1282"/>
      <c r="AN65" s="1282"/>
      <c r="AO65" s="1282"/>
      <c r="AP65" s="1282"/>
      <c r="AQ65" s="1282"/>
      <c r="AR65" s="1282"/>
      <c r="AS65" s="1282"/>
      <c r="AT65" s="1282"/>
      <c r="AU65" s="1282"/>
      <c r="BA65" s="10">
        <v>20</v>
      </c>
    </row>
    <row r="66" spans="1:53" ht="14.65" customHeight="1">
      <c r="O66" s="60"/>
      <c r="T66" s="370"/>
      <c r="U66" s="370"/>
      <c r="V66" s="370"/>
      <c r="W66" s="370"/>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BA66" s="10">
        <v>14</v>
      </c>
    </row>
    <row r="67" spans="1:53" ht="19.899999999999999" customHeight="1">
      <c r="O67" s="60"/>
      <c r="T67" s="1282"/>
      <c r="U67" s="1282"/>
      <c r="V67" s="1282"/>
      <c r="W67" s="1282"/>
      <c r="X67" s="1282"/>
      <c r="Y67" s="1282"/>
      <c r="Z67" s="1282"/>
      <c r="AA67" s="1282"/>
      <c r="AB67" s="1282"/>
      <c r="AC67" s="1282"/>
      <c r="AD67" s="1282"/>
      <c r="AE67" s="1282"/>
      <c r="AF67" s="1282"/>
      <c r="AG67" s="1282"/>
      <c r="AH67" s="1282"/>
      <c r="AI67" s="1282"/>
      <c r="AJ67" s="1282"/>
      <c r="AK67" s="1282"/>
      <c r="AL67" s="1282"/>
      <c r="AM67" s="1282"/>
      <c r="AN67" s="1282"/>
      <c r="AO67" s="1282"/>
      <c r="AP67" s="1282"/>
      <c r="AQ67" s="1282"/>
      <c r="AR67" s="1282"/>
      <c r="AS67" s="1282"/>
      <c r="AT67" s="1282"/>
      <c r="AU67" s="1282"/>
      <c r="BA67" s="10">
        <v>19</v>
      </c>
    </row>
    <row r="68" spans="1:53" ht="16.899999999999999" customHeight="1">
      <c r="O68" s="60"/>
      <c r="T68" s="1282"/>
      <c r="U68" s="1282"/>
      <c r="V68" s="1282"/>
      <c r="W68" s="1282"/>
      <c r="X68" s="1282"/>
      <c r="Y68" s="1282"/>
      <c r="Z68" s="1282"/>
      <c r="AA68" s="1282"/>
      <c r="AB68" s="1282"/>
      <c r="AC68" s="1282"/>
      <c r="AD68" s="1282"/>
      <c r="AE68" s="1282"/>
      <c r="AF68" s="1282"/>
      <c r="AG68" s="1282"/>
      <c r="AH68" s="1282"/>
      <c r="AI68" s="1282"/>
      <c r="AJ68" s="1282"/>
      <c r="AK68" s="1282"/>
      <c r="AL68" s="1282"/>
      <c r="AM68" s="1282"/>
      <c r="AN68" s="1282"/>
      <c r="AO68" s="1282"/>
      <c r="AP68" s="1282"/>
      <c r="AQ68" s="1282"/>
      <c r="AR68" s="1282"/>
      <c r="AS68" s="1282"/>
      <c r="AT68" s="1282"/>
      <c r="AU68" s="1282"/>
      <c r="BA68" s="10">
        <v>16</v>
      </c>
    </row>
    <row r="69" spans="1:53" ht="14.65" customHeight="1">
      <c r="O69" s="60"/>
      <c r="BA69" s="10">
        <v>14</v>
      </c>
    </row>
    <row r="70" spans="1:53" ht="22.5" hidden="1" customHeight="1">
      <c r="A70" s="60" t="s">
        <v>80</v>
      </c>
      <c r="B70" s="60">
        <v>0</v>
      </c>
      <c r="C70" s="60">
        <v>0</v>
      </c>
      <c r="D70" s="60">
        <v>0</v>
      </c>
      <c r="E70" s="60">
        <v>0</v>
      </c>
      <c r="F70" s="60">
        <v>0</v>
      </c>
      <c r="G70" s="60">
        <v>0</v>
      </c>
      <c r="H70" s="60">
        <v>0</v>
      </c>
      <c r="I70" s="60">
        <v>0</v>
      </c>
      <c r="J70" s="60">
        <v>0</v>
      </c>
      <c r="K70" s="60">
        <v>0</v>
      </c>
      <c r="L70" s="298">
        <v>0</v>
      </c>
      <c r="M70" s="503">
        <v>0</v>
      </c>
      <c r="N70" s="503">
        <v>0</v>
      </c>
      <c r="O70" s="503">
        <v>0</v>
      </c>
      <c r="P70" s="503">
        <v>3</v>
      </c>
      <c r="Q70" s="769">
        <v>3</v>
      </c>
      <c r="R70" s="28">
        <v>3</v>
      </c>
      <c r="S70" s="339">
        <v>12</v>
      </c>
      <c r="T70" s="10">
        <v>31</v>
      </c>
      <c r="U70" s="10">
        <v>0</v>
      </c>
      <c r="V70" s="10">
        <v>0</v>
      </c>
      <c r="W70" s="10">
        <v>0</v>
      </c>
      <c r="X70" s="10">
        <v>0</v>
      </c>
      <c r="Y70" s="10">
        <v>0</v>
      </c>
      <c r="Z70" s="10">
        <v>0</v>
      </c>
      <c r="AA70" s="10">
        <v>0</v>
      </c>
      <c r="AB70" s="10">
        <v>5</v>
      </c>
      <c r="AC70" s="10">
        <v>3</v>
      </c>
      <c r="AD70" s="10">
        <v>3</v>
      </c>
      <c r="AE70" s="10">
        <v>24</v>
      </c>
      <c r="AF70" s="10">
        <v>3</v>
      </c>
      <c r="AG70" s="10">
        <v>3</v>
      </c>
      <c r="AH70" s="10">
        <v>3</v>
      </c>
      <c r="AI70" s="10">
        <v>24</v>
      </c>
      <c r="AJ70" s="10">
        <v>3</v>
      </c>
      <c r="AK70" s="10">
        <v>3</v>
      </c>
      <c r="AL70" s="10">
        <v>3</v>
      </c>
      <c r="AM70" s="10">
        <v>18</v>
      </c>
      <c r="AN70" s="10">
        <v>21</v>
      </c>
      <c r="AO70" s="10">
        <v>21</v>
      </c>
      <c r="AP70" s="10">
        <v>11</v>
      </c>
      <c r="AQ70" s="10">
        <v>3</v>
      </c>
      <c r="AR70" s="10">
        <v>11</v>
      </c>
      <c r="AS70" s="10">
        <v>8</v>
      </c>
      <c r="AT70" s="10">
        <v>4</v>
      </c>
      <c r="AU70" s="10">
        <v>115</v>
      </c>
      <c r="AV70" s="65">
        <v>10</v>
      </c>
      <c r="AW70" s="65">
        <v>10</v>
      </c>
      <c r="AX70" s="65">
        <v>10</v>
      </c>
      <c r="AY70" s="65">
        <v>10</v>
      </c>
      <c r="AZ70" s="65">
        <v>10</v>
      </c>
      <c r="BA70" s="1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8" hidden="1" customWidth="1"/>
    <col min="13" max="14" width="12.28515625" style="503" hidden="1" customWidth="1"/>
    <col min="15" max="15" width="23.42578125" style="503" hidden="1" customWidth="1"/>
    <col min="16" max="16" width="3" style="32" customWidth="1"/>
    <col min="17" max="18" width="3" style="28" customWidth="1"/>
    <col min="19" max="19" width="12" style="339"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66"/>
      <c r="B2" s="766"/>
      <c r="C2" s="766"/>
      <c r="D2" s="766"/>
      <c r="E2" s="1283">
        <v>1</v>
      </c>
      <c r="F2" s="766"/>
      <c r="G2" s="766"/>
      <c r="H2" s="766"/>
      <c r="I2" s="766"/>
      <c r="J2" s="766"/>
      <c r="K2" s="766"/>
      <c r="L2" s="767"/>
      <c r="M2" s="423"/>
      <c r="N2" s="423"/>
      <c r="O2" s="423"/>
      <c r="Q2" s="33"/>
      <c r="R2" s="204"/>
      <c r="S2" s="706" t="e">
        <f>INDEX(PT_DIFFERENTIATION_NUM_NTAR,MATCH(A2,PT_DIFFERENTIATION_NTAR_ID,0))</f>
        <v>#N/A</v>
      </c>
      <c r="T2" s="64" t="s">
        <v>121</v>
      </c>
      <c r="U2" s="168"/>
      <c r="V2" s="1277"/>
      <c r="W2" s="1278"/>
      <c r="X2" s="1278"/>
      <c r="Y2" s="1278"/>
      <c r="Z2" s="1278"/>
      <c r="AA2" s="1278"/>
      <c r="AB2" s="1279"/>
      <c r="AC2" s="1277" t="e">
        <f>INDEX(PT_DIFFERENTIATION_NTAR,MATCH(A2,PT_DIFFERENTIATION_NTAR_ID,0))</f>
        <v>#N/A</v>
      </c>
      <c r="AD2" s="1278"/>
      <c r="AE2" s="1278"/>
      <c r="AF2" s="1278"/>
      <c r="AG2" s="1278"/>
      <c r="AH2" s="1278"/>
      <c r="AI2" s="1278"/>
      <c r="AJ2" s="1279"/>
      <c r="AK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66"/>
      <c r="B3" s="766"/>
      <c r="C3" s="766"/>
      <c r="D3" s="766"/>
      <c r="E3" s="1284"/>
      <c r="F3" s="1283">
        <v>1</v>
      </c>
      <c r="G3" s="766"/>
      <c r="H3" s="766"/>
      <c r="I3" s="766"/>
      <c r="J3" s="766"/>
      <c r="K3" s="766"/>
      <c r="L3" s="767"/>
      <c r="M3" s="423"/>
      <c r="N3" s="423"/>
      <c r="O3" s="423"/>
      <c r="P3" s="56"/>
      <c r="Q3" s="201"/>
      <c r="R3" s="202"/>
      <c r="S3" s="706" t="e">
        <f>INDEX(PT_DIFFERENTIATION_NUM_TER,MATCH(B3,PT_DIFFERENTIATION_TER_ID,0))</f>
        <v>#N/A</v>
      </c>
      <c r="T3" s="174" t="s">
        <v>397</v>
      </c>
      <c r="U3" s="168"/>
      <c r="V3" s="1277"/>
      <c r="W3" s="1278"/>
      <c r="X3" s="1278"/>
      <c r="Y3" s="1278"/>
      <c r="Z3" s="1278"/>
      <c r="AA3" s="1278"/>
      <c r="AB3" s="1279"/>
      <c r="AC3" s="1277" t="e">
        <f>INDEX(PT_DIFFERENTIATION_TER,MATCH(B3,PT_DIFFERENTIATION_TER_ID,0))</f>
        <v>#N/A</v>
      </c>
      <c r="AD3" s="1278"/>
      <c r="AE3" s="1278"/>
      <c r="AF3" s="1278"/>
      <c r="AG3" s="1278"/>
      <c r="AH3" s="1278"/>
      <c r="AI3" s="1278"/>
      <c r="AJ3" s="1279"/>
      <c r="AK3" s="726" t="s">
        <v>398</v>
      </c>
      <c r="AM3" s="66"/>
      <c r="AN3" s="66" t="str">
        <f t="shared" si="0"/>
        <v>Территория действия тарифа</v>
      </c>
      <c r="AO3" s="66"/>
      <c r="AP3" s="66"/>
      <c r="AQ3" s="10">
        <v>0</v>
      </c>
    </row>
    <row r="4" spans="1:43" ht="23.25" hidden="1" customHeight="1">
      <c r="A4" s="766"/>
      <c r="B4" s="766"/>
      <c r="C4" s="766"/>
      <c r="D4" s="766"/>
      <c r="E4" s="1284"/>
      <c r="F4" s="1284"/>
      <c r="G4" s="1283">
        <v>1</v>
      </c>
      <c r="H4" s="766"/>
      <c r="I4" s="766"/>
      <c r="J4" s="766"/>
      <c r="K4" s="766"/>
      <c r="L4" s="767"/>
      <c r="M4" s="423"/>
      <c r="N4" s="423"/>
      <c r="O4" s="423"/>
      <c r="P4" s="203"/>
      <c r="Q4" s="201"/>
      <c r="R4" s="202"/>
      <c r="S4" s="706" t="e">
        <f>INDEX(PT_DIFFERENTIATION_NUM_CS,MATCH(C4,PT_DIFFERENTIATION_CS_ID,0))</f>
        <v>#N/A</v>
      </c>
      <c r="T4" s="175" t="s">
        <v>478</v>
      </c>
      <c r="U4" s="168"/>
      <c r="V4" s="1277"/>
      <c r="W4" s="1278"/>
      <c r="X4" s="1278"/>
      <c r="Y4" s="1278"/>
      <c r="Z4" s="1278"/>
      <c r="AA4" s="1278"/>
      <c r="AB4" s="1279"/>
      <c r="AC4" s="1277" t="e">
        <f>INDEX(PT_DIFFERENTIATION_CS,MATCH(C4,PT_DIFFERENTIATION_CS_ID,0))</f>
        <v>#N/A</v>
      </c>
      <c r="AD4" s="1278"/>
      <c r="AE4" s="1278"/>
      <c r="AF4" s="1278"/>
      <c r="AG4" s="1278"/>
      <c r="AH4" s="1278"/>
      <c r="AI4" s="1278"/>
      <c r="AJ4" s="1279"/>
      <c r="AK4" s="726" t="s">
        <v>479</v>
      </c>
      <c r="AM4" s="66"/>
      <c r="AN4" s="66" t="str">
        <f t="shared" si="0"/>
        <v>Наименование централизованной системы холодного водоснабжения</v>
      </c>
      <c r="AO4" s="66"/>
      <c r="AP4" s="66"/>
      <c r="AQ4" s="10">
        <v>0</v>
      </c>
    </row>
    <row r="5" spans="1:43" ht="23.25" hidden="1" customHeight="1">
      <c r="A5" s="766"/>
      <c r="B5" s="766"/>
      <c r="C5" s="766"/>
      <c r="D5" s="766"/>
      <c r="E5" s="1284"/>
      <c r="F5" s="1284"/>
      <c r="G5" s="1284"/>
      <c r="H5" s="1284"/>
      <c r="I5" s="1285" t="e">
        <f>S4&amp;".1"</f>
        <v>#N/A</v>
      </c>
      <c r="J5" s="766"/>
      <c r="K5" s="766"/>
      <c r="L5" s="767"/>
      <c r="P5" s="1287">
        <v>1</v>
      </c>
      <c r="Q5" s="119"/>
      <c r="R5" s="205"/>
      <c r="S5" s="706" t="e">
        <f>$I5</f>
        <v>#N/A</v>
      </c>
      <c r="T5" s="161" t="s">
        <v>480</v>
      </c>
      <c r="U5" s="168"/>
      <c r="V5" s="1351"/>
      <c r="W5" s="1352"/>
      <c r="X5" s="1352"/>
      <c r="Y5" s="1352"/>
      <c r="Z5" s="1352"/>
      <c r="AA5" s="1352"/>
      <c r="AB5" s="1353"/>
      <c r="AC5" s="1354"/>
      <c r="AD5" s="1355"/>
      <c r="AE5" s="1355"/>
      <c r="AF5" s="1355"/>
      <c r="AG5" s="1355"/>
      <c r="AH5" s="1355"/>
      <c r="AI5" s="1355"/>
      <c r="AJ5" s="1356"/>
      <c r="AK5" s="726" t="s">
        <v>481</v>
      </c>
      <c r="AM5" s="66"/>
      <c r="AN5" s="66" t="str">
        <f t="shared" si="0"/>
        <v>Наименование признака дифференциации</v>
      </c>
      <c r="AO5" s="66"/>
      <c r="AP5" s="66"/>
      <c r="AQ5" s="10">
        <v>0</v>
      </c>
    </row>
    <row r="6" spans="1:43" ht="23.25" hidden="1" customHeight="1">
      <c r="A6" s="766"/>
      <c r="B6" s="766"/>
      <c r="C6" s="766"/>
      <c r="D6" s="766"/>
      <c r="E6" s="1284"/>
      <c r="F6" s="1284"/>
      <c r="G6" s="1284"/>
      <c r="H6" s="1284"/>
      <c r="I6" s="1286"/>
      <c r="J6" s="1285" t="e">
        <f>I5&amp;".1"</f>
        <v>#N/A</v>
      </c>
      <c r="K6" s="766"/>
      <c r="L6" s="767" t="s">
        <v>406</v>
      </c>
      <c r="P6" s="1287"/>
      <c r="Q6" s="1287">
        <v>1</v>
      </c>
      <c r="R6" s="206"/>
      <c r="S6" s="706" t="e">
        <f>$J6</f>
        <v>#N/A</v>
      </c>
      <c r="T6" s="162" t="s">
        <v>407</v>
      </c>
      <c r="U6" s="168"/>
      <c r="V6" s="1271"/>
      <c r="W6" s="1272"/>
      <c r="X6" s="1272"/>
      <c r="Y6" s="1272"/>
      <c r="Z6" s="1272"/>
      <c r="AA6" s="1272"/>
      <c r="AB6" s="1273"/>
      <c r="AC6" s="1271"/>
      <c r="AD6" s="1272"/>
      <c r="AE6" s="1272"/>
      <c r="AF6" s="1272"/>
      <c r="AG6" s="1272"/>
      <c r="AH6" s="1272"/>
      <c r="AI6" s="1272"/>
      <c r="AJ6" s="1273"/>
      <c r="AK6" s="750" t="s">
        <v>482</v>
      </c>
      <c r="AM6" s="66"/>
      <c r="AN6" s="66" t="str">
        <f t="shared" si="0"/>
        <v>Группа потребителей</v>
      </c>
      <c r="AO6" s="66"/>
      <c r="AP6" s="66"/>
      <c r="AQ6" s="10">
        <v>0</v>
      </c>
    </row>
    <row r="7" spans="1:43" ht="23.25" hidden="1" customHeight="1">
      <c r="A7" s="766"/>
      <c r="B7" s="766"/>
      <c r="C7" s="766"/>
      <c r="D7" s="766"/>
      <c r="E7" s="1284"/>
      <c r="F7" s="1284"/>
      <c r="G7" s="1284"/>
      <c r="H7" s="1284"/>
      <c r="I7" s="1286"/>
      <c r="J7" s="1286"/>
      <c r="K7" s="1285" t="e">
        <f>J6&amp;".1"</f>
        <v>#N/A</v>
      </c>
      <c r="L7" s="767"/>
      <c r="P7" s="1287"/>
      <c r="Q7" s="1287"/>
      <c r="R7" s="206">
        <v>1</v>
      </c>
      <c r="S7" s="706" t="e">
        <f>$K7</f>
        <v>#N/A</v>
      </c>
      <c r="T7" s="810"/>
      <c r="U7" s="168"/>
      <c r="V7" s="303"/>
      <c r="W7" s="303"/>
      <c r="X7" s="725"/>
      <c r="Y7" s="1288"/>
      <c r="Z7" s="1156" t="s">
        <v>64</v>
      </c>
      <c r="AA7" s="1288"/>
      <c r="AB7" s="1156" t="s">
        <v>64</v>
      </c>
      <c r="AC7" s="303"/>
      <c r="AD7" s="303"/>
      <c r="AE7" s="725"/>
      <c r="AF7" s="1288"/>
      <c r="AG7" s="1156" t="s">
        <v>64</v>
      </c>
      <c r="AH7" s="1290"/>
      <c r="AI7" s="1156" t="s">
        <v>64</v>
      </c>
      <c r="AJ7" s="811"/>
      <c r="AK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66"/>
      <c r="B8" s="766"/>
      <c r="C8" s="766"/>
      <c r="D8" s="766"/>
      <c r="E8" s="1284"/>
      <c r="F8" s="1284"/>
      <c r="G8" s="1284"/>
      <c r="H8" s="1284"/>
      <c r="I8" s="1286"/>
      <c r="J8" s="1286"/>
      <c r="K8" s="1285"/>
      <c r="L8" s="767"/>
      <c r="P8" s="1287"/>
      <c r="Q8" s="1287"/>
      <c r="R8" s="206"/>
      <c r="S8" s="62"/>
      <c r="T8" s="168"/>
      <c r="U8" s="168"/>
      <c r="V8" s="188"/>
      <c r="W8" s="188"/>
      <c r="X8" s="189" t="str">
        <f>Y7&amp;"-"&amp;AA7</f>
        <v>-</v>
      </c>
      <c r="Y8" s="1289"/>
      <c r="Z8" s="1156"/>
      <c r="AA8" s="1289"/>
      <c r="AB8" s="1156"/>
      <c r="AC8" s="188"/>
      <c r="AD8" s="188"/>
      <c r="AE8" s="189" t="str">
        <f>AF7&amp;"-"&amp;AH7</f>
        <v>-</v>
      </c>
      <c r="AF8" s="1289"/>
      <c r="AG8" s="1156"/>
      <c r="AH8" s="1291"/>
      <c r="AI8" s="1156"/>
      <c r="AJ8" s="385"/>
      <c r="AK8" s="1357"/>
      <c r="AM8" s="66"/>
      <c r="AN8" s="66" t="str">
        <f t="shared" si="0"/>
        <v/>
      </c>
      <c r="AO8" s="66"/>
      <c r="AP8" s="66"/>
      <c r="AQ8" s="10">
        <v>0</v>
      </c>
    </row>
    <row r="9" spans="1:43" ht="21" hidden="1" customHeight="1">
      <c r="A9" s="766"/>
      <c r="B9" s="766"/>
      <c r="C9" s="766"/>
      <c r="D9" s="766"/>
      <c r="E9" s="1284"/>
      <c r="F9" s="1284"/>
      <c r="G9" s="1284"/>
      <c r="H9" s="1284"/>
      <c r="I9" s="1286"/>
      <c r="J9" s="1285"/>
      <c r="K9" s="766"/>
      <c r="L9" s="767"/>
      <c r="P9" s="1287"/>
      <c r="Q9" s="1287"/>
      <c r="R9" s="205"/>
      <c r="S9" s="739"/>
      <c r="T9" s="163" t="s">
        <v>483</v>
      </c>
      <c r="U9" s="210"/>
      <c r="V9" s="210"/>
      <c r="W9" s="210"/>
      <c r="X9" s="210"/>
      <c r="Y9" s="210"/>
      <c r="Z9" s="210"/>
      <c r="AA9" s="210"/>
      <c r="AB9" s="210"/>
      <c r="AC9" s="210"/>
      <c r="AD9" s="210"/>
      <c r="AE9" s="210"/>
      <c r="AF9" s="210"/>
      <c r="AG9" s="210"/>
      <c r="AH9" s="210"/>
      <c r="AI9" s="210"/>
      <c r="AJ9" s="210"/>
      <c r="AK9" s="726" t="s">
        <v>484</v>
      </c>
      <c r="AM9" s="66"/>
      <c r="AN9" s="66" t="str">
        <f t="shared" si="0"/>
        <v>Добавить значение признака дифференциации</v>
      </c>
      <c r="AO9" s="66"/>
      <c r="AP9" s="66"/>
      <c r="AQ9" s="10">
        <v>0</v>
      </c>
    </row>
    <row r="10" spans="1:43" ht="21" hidden="1" customHeight="1">
      <c r="A10" s="766"/>
      <c r="B10" s="766"/>
      <c r="C10" s="766"/>
      <c r="D10" s="766"/>
      <c r="E10" s="1284"/>
      <c r="F10" s="1284"/>
      <c r="G10" s="1284"/>
      <c r="H10" s="1284"/>
      <c r="I10" s="1285"/>
      <c r="J10" s="766"/>
      <c r="K10" s="766"/>
      <c r="L10" s="767"/>
      <c r="P10" s="1287"/>
      <c r="Q10" s="119"/>
      <c r="R10" s="205"/>
      <c r="S10" s="739"/>
      <c r="T10" s="208" t="s">
        <v>412</v>
      </c>
      <c r="U10" s="210"/>
      <c r="V10" s="210"/>
      <c r="W10" s="210"/>
      <c r="X10" s="210"/>
      <c r="Y10" s="210"/>
      <c r="Z10" s="210"/>
      <c r="AA10" s="210"/>
      <c r="AB10" s="209"/>
      <c r="AC10" s="210"/>
      <c r="AD10" s="210"/>
      <c r="AE10" s="210"/>
      <c r="AF10" s="210"/>
      <c r="AG10" s="210"/>
      <c r="AH10" s="210"/>
      <c r="AI10" s="209"/>
      <c r="AJ10" s="210"/>
      <c r="AK10" s="812"/>
      <c r="AM10" s="66"/>
      <c r="AN10" s="66" t="str">
        <f t="shared" si="0"/>
        <v>Добавить группу потребителей</v>
      </c>
      <c r="AO10" s="66"/>
      <c r="AP10" s="66"/>
      <c r="AQ10" s="10">
        <v>0</v>
      </c>
    </row>
    <row r="11" spans="1:43" ht="14.25" hidden="1" customHeight="1">
      <c r="A11" s="766"/>
      <c r="B11" s="766"/>
      <c r="C11" s="766"/>
      <c r="D11" s="766"/>
      <c r="E11" s="1284"/>
      <c r="F11" s="1284"/>
      <c r="G11" s="1284"/>
      <c r="H11" s="1283"/>
      <c r="I11" s="766"/>
      <c r="J11" s="766"/>
      <c r="K11" s="766"/>
      <c r="L11" s="767"/>
      <c r="M11" s="423"/>
      <c r="N11" s="423"/>
      <c r="O11" s="60"/>
      <c r="P11" s="33"/>
      <c r="Q11" s="213"/>
      <c r="R11" s="204"/>
      <c r="S11" s="739"/>
      <c r="T11" s="104" t="s">
        <v>485</v>
      </c>
      <c r="U11" s="210"/>
      <c r="V11" s="210"/>
      <c r="W11" s="210"/>
      <c r="X11" s="210"/>
      <c r="Y11" s="210"/>
      <c r="Z11" s="210"/>
      <c r="AA11" s="210"/>
      <c r="AB11" s="209"/>
      <c r="AC11" s="210"/>
      <c r="AD11" s="210"/>
      <c r="AE11" s="210"/>
      <c r="AF11" s="210"/>
      <c r="AG11" s="210"/>
      <c r="AH11" s="210"/>
      <c r="AI11" s="209"/>
      <c r="AJ11" s="210"/>
      <c r="AK11" s="171"/>
      <c r="AM11" s="66"/>
      <c r="AN11" s="66" t="str">
        <f t="shared" si="0"/>
        <v>Добавить наименование признака дифференциации</v>
      </c>
      <c r="AO11" s="66"/>
      <c r="AP11" s="66"/>
      <c r="AQ11" s="10">
        <v>0</v>
      </c>
    </row>
    <row r="12" spans="1:43" s="65" customFormat="1" ht="14.25" hidden="1" customHeight="1">
      <c r="A12" s="142"/>
      <c r="B12" s="142"/>
      <c r="C12" s="142"/>
      <c r="D12" s="142"/>
      <c r="E12" s="1284"/>
      <c r="F12" s="1283"/>
      <c r="G12" s="142"/>
      <c r="H12" s="142"/>
      <c r="I12" s="142"/>
      <c r="J12" s="142"/>
      <c r="K12" s="142"/>
      <c r="L12" s="343"/>
      <c r="M12" s="756"/>
      <c r="N12" s="756"/>
      <c r="P12" s="101"/>
      <c r="Q12" s="752"/>
      <c r="R12" s="101"/>
      <c r="S12" s="757"/>
      <c r="T12" s="759" t="s">
        <v>231</v>
      </c>
      <c r="U12" s="310"/>
      <c r="V12" s="310"/>
      <c r="W12" s="310"/>
      <c r="X12" s="310"/>
      <c r="Y12" s="310"/>
      <c r="Z12" s="310"/>
      <c r="AA12" s="310"/>
      <c r="AB12" s="310"/>
      <c r="AC12" s="310"/>
      <c r="AD12" s="310"/>
      <c r="AE12" s="310"/>
      <c r="AF12" s="310"/>
      <c r="AG12" s="310"/>
      <c r="AH12" s="310"/>
      <c r="AI12" s="310"/>
      <c r="AJ12" s="310"/>
      <c r="AK12" s="310"/>
      <c r="AM12" s="66"/>
      <c r="AN12" s="66" t="str">
        <f t="shared" si="0"/>
        <v>Добавить централизованную систему для дифференциации</v>
      </c>
      <c r="AO12" s="66"/>
      <c r="AP12" s="66"/>
      <c r="AQ12" s="65">
        <v>0</v>
      </c>
    </row>
    <row r="13" spans="1:43" s="65" customFormat="1" ht="14.25" hidden="1" customHeight="1">
      <c r="A13" s="142"/>
      <c r="B13" s="142"/>
      <c r="C13" s="142"/>
      <c r="D13" s="142"/>
      <c r="E13" s="1283"/>
      <c r="F13" s="142"/>
      <c r="G13" s="142"/>
      <c r="H13" s="142"/>
      <c r="I13" s="142"/>
      <c r="J13" s="142"/>
      <c r="K13" s="142"/>
      <c r="L13" s="343"/>
      <c r="M13" s="756"/>
      <c r="N13" s="756"/>
      <c r="P13" s="101"/>
      <c r="Q13" s="752"/>
      <c r="R13" s="101"/>
      <c r="S13" s="757"/>
      <c r="T13" s="759" t="s">
        <v>232</v>
      </c>
      <c r="U13" s="310"/>
      <c r="V13" s="310"/>
      <c r="W13" s="310"/>
      <c r="X13" s="310"/>
      <c r="Y13" s="310"/>
      <c r="Z13" s="310"/>
      <c r="AA13" s="310"/>
      <c r="AB13" s="310"/>
      <c r="AC13" s="310"/>
      <c r="AD13" s="310"/>
      <c r="AE13" s="310"/>
      <c r="AF13" s="310"/>
      <c r="AG13" s="310"/>
      <c r="AH13" s="310"/>
      <c r="AI13" s="310"/>
      <c r="AJ13" s="310"/>
      <c r="AK13" s="310"/>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5"/>
      <c r="AD15" s="365"/>
      <c r="AE15" s="765"/>
      <c r="AF15" s="1281"/>
      <c r="AG15" s="1280" t="s">
        <v>64</v>
      </c>
      <c r="AH15" s="1281"/>
      <c r="AI15" s="1280" t="s">
        <v>64</v>
      </c>
      <c r="AQ15" s="10">
        <v>0</v>
      </c>
    </row>
    <row r="16" spans="1:43" ht="14.25" hidden="1" customHeight="1">
      <c r="AC16" s="365"/>
      <c r="AD16" s="365"/>
      <c r="AE16" s="189" t="str">
        <f>AF15&amp;"-"&amp;AH15</f>
        <v>-</v>
      </c>
      <c r="AF16" s="1280"/>
      <c r="AG16" s="1280"/>
      <c r="AH16" s="1280"/>
      <c r="AI16" s="1280"/>
      <c r="AQ16" s="10">
        <v>0</v>
      </c>
    </row>
    <row r="17" spans="1:43" ht="14.25" hidden="1" customHeight="1">
      <c r="AQ17" s="10">
        <v>0</v>
      </c>
    </row>
    <row r="18" spans="1:43" s="60" customFormat="1" ht="22.5" hidden="1" customHeight="1">
      <c r="L18" s="298"/>
      <c r="M18" s="503"/>
      <c r="N18" s="503"/>
      <c r="O18" s="768" t="s">
        <v>415</v>
      </c>
      <c r="P18" s="503"/>
      <c r="Q18" s="769"/>
      <c r="R18" s="769"/>
      <c r="S18" s="423"/>
      <c r="Y18" s="768"/>
      <c r="AA18" s="768"/>
      <c r="AF18" s="768"/>
      <c r="AH18" s="768"/>
      <c r="AL18" s="65"/>
      <c r="AM18" s="65"/>
      <c r="AN18" s="65"/>
      <c r="AO18" s="65"/>
      <c r="AP18" s="65"/>
      <c r="AQ18" s="60">
        <v>0</v>
      </c>
    </row>
    <row r="19" spans="1:43" s="60" customFormat="1" ht="14.25" hidden="1" customHeight="1">
      <c r="L19" s="298"/>
      <c r="M19" s="503"/>
      <c r="N19" s="503"/>
      <c r="O19" s="503"/>
      <c r="P19" s="503"/>
      <c r="Q19" s="769"/>
      <c r="R19" s="769"/>
      <c r="S19" s="423"/>
      <c r="AL19" s="65"/>
      <c r="AM19" s="65"/>
      <c r="AN19" s="65"/>
      <c r="AO19" s="65"/>
      <c r="AP19" s="65"/>
      <c r="AQ19" s="60">
        <v>0</v>
      </c>
    </row>
    <row r="20" spans="1:43" s="60" customFormat="1" ht="12" hidden="1" customHeight="1">
      <c r="L20" s="298"/>
      <c r="M20" s="503"/>
      <c r="N20" s="503"/>
      <c r="O20" s="767" t="s">
        <v>416</v>
      </c>
      <c r="P20" s="503"/>
      <c r="Q20" s="813"/>
      <c r="R20" s="813"/>
      <c r="S20" s="423"/>
      <c r="T20" s="60" t="s">
        <v>417</v>
      </c>
      <c r="Z20" s="79" t="s">
        <v>418</v>
      </c>
      <c r="AB20" s="79" t="s">
        <v>419</v>
      </c>
      <c r="AC20" s="60" t="s">
        <v>417</v>
      </c>
      <c r="AG20" s="79" t="s">
        <v>420</v>
      </c>
      <c r="AI20" s="79" t="s">
        <v>419</v>
      </c>
      <c r="AQ20" s="60">
        <v>0</v>
      </c>
    </row>
    <row r="21" spans="1:43" ht="14.25" hidden="1" customHeight="1">
      <c r="O21" s="767"/>
      <c r="AQ21" s="10">
        <v>0</v>
      </c>
    </row>
    <row r="22" spans="1:43" ht="14.25" hidden="1" customHeight="1">
      <c r="O22" s="767"/>
      <c r="AQ22" s="10">
        <v>0</v>
      </c>
    </row>
    <row r="23" spans="1:43" ht="14.65" customHeight="1">
      <c r="Q23" s="27"/>
      <c r="R23" s="27"/>
      <c r="S23" s="736"/>
      <c r="T23" s="9"/>
      <c r="U23" s="9"/>
      <c r="AQ23" s="10">
        <v>14</v>
      </c>
    </row>
    <row r="24" spans="1:43" ht="14.65" customHeight="1">
      <c r="Q24" s="27"/>
      <c r="R24" s="27"/>
      <c r="S24" s="12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4"/>
      <c r="U24" s="1264"/>
      <c r="V24" s="1264"/>
      <c r="W24" s="1264"/>
      <c r="X24" s="1264"/>
      <c r="Y24" s="1264"/>
      <c r="Z24" s="1264"/>
      <c r="AA24" s="1264"/>
      <c r="AB24" s="1264"/>
      <c r="AC24" s="1264"/>
      <c r="AD24" s="1264"/>
      <c r="AE24" s="1264"/>
      <c r="AF24" s="1264"/>
      <c r="AG24" s="1264"/>
      <c r="AH24" s="1264"/>
      <c r="AI24" s="57"/>
      <c r="AQ24" s="10">
        <v>14</v>
      </c>
    </row>
    <row r="25" spans="1:43" ht="14.65" customHeight="1">
      <c r="Q25" s="27"/>
      <c r="R25" s="27"/>
      <c r="S25" s="1236" t="str">
        <f>IF(org=0,"Не определено",org)</f>
        <v>Общество с ограниченной ответственностью "Березовский рудник"</v>
      </c>
      <c r="T25" s="1236"/>
      <c r="U25" s="1236"/>
      <c r="V25" s="1236"/>
      <c r="W25" s="1236"/>
      <c r="X25" s="1236"/>
      <c r="Y25" s="1236"/>
      <c r="Z25" s="1236"/>
      <c r="AA25" s="1236"/>
      <c r="AB25" s="1236"/>
      <c r="AC25" s="1236"/>
      <c r="AD25" s="1236"/>
      <c r="AE25" s="1236"/>
      <c r="AF25" s="1236"/>
      <c r="AG25" s="1236"/>
      <c r="AH25" s="1236"/>
      <c r="AI25" s="57"/>
      <c r="AQ25" s="10">
        <v>14</v>
      </c>
    </row>
    <row r="26" spans="1:43" ht="14.25" hidden="1" customHeight="1">
      <c r="Q26" s="27"/>
      <c r="R26" s="27"/>
      <c r="S26" s="736"/>
      <c r="T26" s="9"/>
      <c r="U26" s="9"/>
      <c r="V26" s="186"/>
      <c r="W26" s="186"/>
      <c r="X26" s="186"/>
      <c r="Y26" s="186"/>
      <c r="Z26" s="186"/>
      <c r="AA26" s="186"/>
      <c r="AB26" s="186"/>
      <c r="AC26" s="186"/>
      <c r="AD26" s="186"/>
      <c r="AE26" s="186"/>
      <c r="AF26" s="186"/>
      <c r="AG26" s="186"/>
      <c r="AH26" s="186"/>
      <c r="AI26" s="186"/>
      <c r="AQ26" s="10">
        <v>0</v>
      </c>
    </row>
    <row r="27" spans="1:43" s="34" customFormat="1" ht="25.5" hidden="1" customHeight="1">
      <c r="A27" s="79"/>
      <c r="B27" s="79"/>
      <c r="C27" s="79"/>
      <c r="D27" s="79"/>
      <c r="E27" s="79"/>
      <c r="F27" s="79"/>
      <c r="G27" s="79"/>
      <c r="H27" s="79"/>
      <c r="I27" s="79"/>
      <c r="J27" s="79"/>
      <c r="K27" s="79"/>
      <c r="L27" s="767"/>
      <c r="M27" s="79"/>
      <c r="N27" s="79"/>
      <c r="O27" s="79"/>
      <c r="S27" s="1274" t="s">
        <v>41</v>
      </c>
      <c r="T27" s="1274"/>
      <c r="U27" s="770"/>
      <c r="V27" s="1276" t="str">
        <f>IF(TITLE_NAME_OR_PR_CHANGE="",IF(TITLE_NAME_OR_PR="","",TITLE_NAME_OR_PR),TITLE_NAME_OR_PR_CHANGE)</f>
        <v/>
      </c>
      <c r="W27" s="1276"/>
      <c r="X27" s="1276"/>
      <c r="Y27" s="1276"/>
      <c r="Z27" s="1276"/>
      <c r="AA27" s="1276"/>
      <c r="AB27" s="10"/>
      <c r="AC27" s="1276" t="str">
        <f>IF(TITLE_NAME_OR_PR_CHANGE="",IF(TITLE_NAME_OR_PR="","",TITLE_NAME_OR_PR),TITLE_NAME_OR_PR_CHANGE)</f>
        <v/>
      </c>
      <c r="AD27" s="1276"/>
      <c r="AE27" s="1276"/>
      <c r="AF27" s="1276"/>
      <c r="AG27" s="1276"/>
      <c r="AH27" s="1276"/>
      <c r="AI27" s="10"/>
      <c r="AJ27" s="10"/>
      <c r="AK27" s="160"/>
      <c r="AL27" s="66"/>
      <c r="AM27" s="66"/>
      <c r="AN27" s="66"/>
      <c r="AO27" s="66"/>
      <c r="AP27" s="66"/>
      <c r="AQ27" s="34">
        <v>0</v>
      </c>
    </row>
    <row r="28" spans="1:43" s="34" customFormat="1" ht="18.75" hidden="1" customHeight="1">
      <c r="A28" s="79"/>
      <c r="B28" s="79"/>
      <c r="C28" s="79"/>
      <c r="D28" s="79"/>
      <c r="E28" s="79"/>
      <c r="F28" s="79"/>
      <c r="G28" s="79"/>
      <c r="H28" s="79"/>
      <c r="I28" s="79"/>
      <c r="J28" s="79"/>
      <c r="K28" s="79"/>
      <c r="L28" s="767"/>
      <c r="M28" s="79"/>
      <c r="N28" s="79"/>
      <c r="O28" s="79"/>
      <c r="S28" s="1274" t="s">
        <v>421</v>
      </c>
      <c r="T28" s="1274"/>
      <c r="U28" s="770"/>
      <c r="V28" s="1275">
        <f>IF(TITLE_DATE_PR_CHANGE="",IF(TITLE_DATE_PR="","",TITLE_DATE_PR),TITLE_DATE_PR_CHANGE)</f>
        <v>45805</v>
      </c>
      <c r="W28" s="1275"/>
      <c r="X28" s="1275"/>
      <c r="Y28" s="1275"/>
      <c r="Z28" s="1275"/>
      <c r="AA28" s="1275"/>
      <c r="AB28" s="10"/>
      <c r="AC28" s="1275">
        <f>IF(TITLE_DATE_PR_CHANGE="",IF(TITLE_DATE_PR="","",TITLE_DATE_PR),TITLE_DATE_PR_CHANGE)</f>
        <v>45805</v>
      </c>
      <c r="AD28" s="1275"/>
      <c r="AE28" s="1275"/>
      <c r="AF28" s="1275"/>
      <c r="AG28" s="1275"/>
      <c r="AH28" s="1275"/>
      <c r="AI28" s="10"/>
      <c r="AJ28" s="10"/>
      <c r="AK28" s="160"/>
      <c r="AL28" s="66"/>
      <c r="AM28" s="66"/>
      <c r="AN28" s="66"/>
      <c r="AO28" s="66"/>
      <c r="AP28" s="66"/>
      <c r="AQ28" s="34">
        <v>0</v>
      </c>
    </row>
    <row r="29" spans="1:43" s="34" customFormat="1" ht="18.75" hidden="1" customHeight="1">
      <c r="A29" s="79"/>
      <c r="B29" s="79"/>
      <c r="C29" s="79"/>
      <c r="D29" s="79"/>
      <c r="E29" s="79"/>
      <c r="F29" s="79"/>
      <c r="G29" s="79"/>
      <c r="H29" s="79"/>
      <c r="I29" s="79"/>
      <c r="J29" s="79"/>
      <c r="K29" s="79"/>
      <c r="L29" s="767"/>
      <c r="M29" s="79"/>
      <c r="N29" s="79"/>
      <c r="O29" s="79"/>
      <c r="S29" s="1274" t="s">
        <v>422</v>
      </c>
      <c r="T29" s="1274"/>
      <c r="U29" s="770"/>
      <c r="V29" s="1276" t="str">
        <f>IF(TITLE_NUMBER_PR_CHANGE="",IF(TITLE_NUMBER_PR="","",TITLE_NUMBER_PR),TITLE_NUMBER_PR_CHANGE)</f>
        <v>2496</v>
      </c>
      <c r="W29" s="1276"/>
      <c r="X29" s="1276"/>
      <c r="Y29" s="1276"/>
      <c r="Z29" s="1276"/>
      <c r="AA29" s="1276"/>
      <c r="AB29" s="10"/>
      <c r="AC29" s="1276" t="str">
        <f>IF(TITLE_NUMBER_PR_CHANGE="",IF(TITLE_NUMBER_PR="","",TITLE_NUMBER_PR),TITLE_NUMBER_PR_CHANGE)</f>
        <v>2496</v>
      </c>
      <c r="AD29" s="1276"/>
      <c r="AE29" s="1276"/>
      <c r="AF29" s="1276"/>
      <c r="AG29" s="1276"/>
      <c r="AH29" s="1276"/>
      <c r="AI29" s="10"/>
      <c r="AJ29" s="10"/>
      <c r="AK29" s="160"/>
      <c r="AL29" s="66"/>
      <c r="AM29" s="66"/>
      <c r="AN29" s="66"/>
      <c r="AO29" s="66"/>
      <c r="AP29" s="66"/>
      <c r="AQ29" s="34">
        <v>0</v>
      </c>
    </row>
    <row r="30" spans="1:43" s="34" customFormat="1" ht="18.75" hidden="1" customHeight="1">
      <c r="A30" s="79"/>
      <c r="B30" s="79"/>
      <c r="C30" s="79"/>
      <c r="D30" s="79"/>
      <c r="E30" s="79"/>
      <c r="F30" s="79"/>
      <c r="G30" s="79"/>
      <c r="H30" s="79"/>
      <c r="I30" s="79"/>
      <c r="J30" s="79"/>
      <c r="K30" s="79"/>
      <c r="L30" s="767"/>
      <c r="M30" s="79"/>
      <c r="N30" s="79"/>
      <c r="O30" s="79"/>
      <c r="S30" s="1274" t="s">
        <v>42</v>
      </c>
      <c r="T30" s="1274"/>
      <c r="U30" s="770"/>
      <c r="V30" s="1276" t="str">
        <f>IF(TITLE_IST_PUB_CHANGE="",IF(TITLE_IST_PUB="","",TITLE_IST_PUB),TITLE_IST_PUB_CHANGE)</f>
        <v/>
      </c>
      <c r="W30" s="1276"/>
      <c r="X30" s="1276"/>
      <c r="Y30" s="1276"/>
      <c r="Z30" s="1276"/>
      <c r="AA30" s="1276"/>
      <c r="AB30" s="10"/>
      <c r="AC30" s="1276" t="str">
        <f>IF(TITLE_IST_PUB_CHANGE="",IF(TITLE_IST_PUB="","",TITLE_IST_PUB),TITLE_IST_PUB_CHANGE)</f>
        <v/>
      </c>
      <c r="AD30" s="1276"/>
      <c r="AE30" s="1276"/>
      <c r="AF30" s="1276"/>
      <c r="AG30" s="1276"/>
      <c r="AH30" s="1276"/>
      <c r="AI30" s="10"/>
      <c r="AJ30" s="10"/>
      <c r="AK30" s="160"/>
      <c r="AL30" s="66"/>
      <c r="AM30" s="66"/>
      <c r="AN30" s="66"/>
      <c r="AO30" s="66"/>
      <c r="AP30" s="66"/>
      <c r="AQ30" s="34">
        <v>0</v>
      </c>
    </row>
    <row r="31" spans="1:43" ht="14.25" customHeight="1">
      <c r="Q31" s="27"/>
      <c r="R31" s="27"/>
      <c r="S31" s="736"/>
      <c r="T31" s="9"/>
      <c r="U31" s="9"/>
      <c r="V31" s="186"/>
      <c r="W31" s="186"/>
      <c r="X31" s="186"/>
      <c r="Y31" s="186"/>
      <c r="Z31" s="186"/>
      <c r="AA31" s="186"/>
      <c r="AB31" s="186"/>
      <c r="AC31" s="186"/>
      <c r="AD31" s="186"/>
      <c r="AE31" s="186"/>
      <c r="AF31" s="186"/>
      <c r="AG31" s="186"/>
      <c r="AH31" s="186"/>
      <c r="AI31" s="186"/>
      <c r="AQ31" s="10">
        <v>0</v>
      </c>
    </row>
    <row r="32" spans="1:43" s="34" customFormat="1" ht="18.75" customHeight="1">
      <c r="A32" s="79"/>
      <c r="B32" s="79"/>
      <c r="C32" s="79"/>
      <c r="D32" s="79"/>
      <c r="E32" s="79"/>
      <c r="F32" s="79"/>
      <c r="G32" s="79"/>
      <c r="H32" s="79"/>
      <c r="I32" s="79"/>
      <c r="J32" s="79"/>
      <c r="K32" s="79"/>
      <c r="L32" s="767"/>
      <c r="M32" s="79"/>
      <c r="N32" s="79"/>
      <c r="O32" s="79"/>
      <c r="S32" s="1274" t="s">
        <v>423</v>
      </c>
      <c r="T32" s="1274"/>
      <c r="U32" s="770"/>
      <c r="V32" s="1275">
        <f>IF(TITLE_DATE_PR_CHANGE="",IF(TITLE_DATE_PR="","",TITLE_DATE_PR),TITLE_DATE_PR_CHANGE)</f>
        <v>45805</v>
      </c>
      <c r="W32" s="1275"/>
      <c r="X32" s="1275"/>
      <c r="Y32" s="1275"/>
      <c r="Z32" s="1275"/>
      <c r="AA32" s="1275"/>
      <c r="AB32" s="10"/>
      <c r="AC32" s="1275">
        <f>IF(TITLE_DATE_PR_CHANGE="",IF(TITLE_DATE_PR="","",TITLE_DATE_PR),TITLE_DATE_PR_CHANGE)</f>
        <v>45805</v>
      </c>
      <c r="AD32" s="1275"/>
      <c r="AE32" s="1275"/>
      <c r="AF32" s="1275"/>
      <c r="AG32" s="1275"/>
      <c r="AH32" s="1275"/>
      <c r="AI32" s="10"/>
      <c r="AJ32" s="10"/>
      <c r="AK32" s="160"/>
      <c r="AL32" s="66"/>
      <c r="AM32" s="66"/>
      <c r="AN32" s="66"/>
      <c r="AO32" s="66"/>
      <c r="AP32" s="66"/>
      <c r="AQ32" s="34">
        <v>0</v>
      </c>
    </row>
    <row r="33" spans="1:43" s="34" customFormat="1" ht="18.75" customHeight="1">
      <c r="A33" s="79"/>
      <c r="B33" s="79"/>
      <c r="C33" s="79"/>
      <c r="D33" s="79"/>
      <c r="E33" s="79"/>
      <c r="F33" s="79"/>
      <c r="G33" s="79"/>
      <c r="H33" s="79"/>
      <c r="I33" s="79"/>
      <c r="J33" s="79"/>
      <c r="K33" s="79"/>
      <c r="L33" s="767"/>
      <c r="M33" s="79"/>
      <c r="N33" s="79"/>
      <c r="O33" s="79"/>
      <c r="S33" s="1274" t="s">
        <v>424</v>
      </c>
      <c r="T33" s="1274"/>
      <c r="U33" s="770"/>
      <c r="V33" s="1276" t="str">
        <f>IF(TITLE_NUMBER_PR_CHANGE="",IF(TITLE_NUMBER_PR="","",TITLE_NUMBER_PR),TITLE_NUMBER_PR_CHANGE)</f>
        <v>2496</v>
      </c>
      <c r="W33" s="1276"/>
      <c r="X33" s="1276"/>
      <c r="Y33" s="1276"/>
      <c r="Z33" s="1276"/>
      <c r="AA33" s="1276"/>
      <c r="AB33" s="10"/>
      <c r="AC33" s="1276" t="str">
        <f>IF(TITLE_NUMBER_PR_CHANGE="",IF(TITLE_NUMBER_PR="","",TITLE_NUMBER_PR),TITLE_NUMBER_PR_CHANGE)</f>
        <v>2496</v>
      </c>
      <c r="AD33" s="1276"/>
      <c r="AE33" s="1276"/>
      <c r="AF33" s="1276"/>
      <c r="AG33" s="1276"/>
      <c r="AH33" s="1276"/>
      <c r="AI33" s="10"/>
      <c r="AJ33" s="10"/>
      <c r="AK33" s="160"/>
      <c r="AL33" s="66"/>
      <c r="AM33" s="66"/>
      <c r="AN33" s="66"/>
      <c r="AO33" s="66"/>
      <c r="AP33" s="66"/>
      <c r="AQ33" s="34">
        <v>0</v>
      </c>
    </row>
    <row r="34" spans="1:43" s="34" customFormat="1" ht="1.1499999999999999" customHeight="1">
      <c r="A34" s="79"/>
      <c r="B34" s="79"/>
      <c r="C34" s="79"/>
      <c r="D34" s="79"/>
      <c r="E34" s="79"/>
      <c r="F34" s="79"/>
      <c r="G34" s="79"/>
      <c r="H34" s="79"/>
      <c r="I34" s="79"/>
      <c r="J34" s="79"/>
      <c r="K34" s="79"/>
      <c r="L34" s="767"/>
      <c r="M34" s="79"/>
      <c r="N34" s="79"/>
      <c r="O34" s="79"/>
      <c r="S34" s="10"/>
      <c r="T34" s="10"/>
      <c r="U34" s="75"/>
      <c r="V34" s="10"/>
      <c r="W34" s="10"/>
      <c r="X34" s="10"/>
      <c r="Y34" s="10"/>
      <c r="Z34" s="10"/>
      <c r="AA34" s="10"/>
      <c r="AB34" s="65" t="s">
        <v>425</v>
      </c>
      <c r="AC34" s="10"/>
      <c r="AD34" s="10"/>
      <c r="AE34" s="10"/>
      <c r="AF34" s="10"/>
      <c r="AG34" s="10"/>
      <c r="AH34" s="10"/>
      <c r="AI34" s="65" t="s">
        <v>425</v>
      </c>
      <c r="AL34" s="66"/>
      <c r="AM34" s="66"/>
      <c r="AN34" s="66"/>
      <c r="AO34" s="66"/>
      <c r="AP34" s="66"/>
      <c r="AQ34" s="34">
        <v>1</v>
      </c>
    </row>
    <row r="35" spans="1:43" ht="14.65" customHeight="1">
      <c r="Q35" s="27"/>
      <c r="R35" s="27"/>
      <c r="S35" s="736"/>
      <c r="T35" s="9"/>
      <c r="U35" s="717"/>
      <c r="V35" s="1295"/>
      <c r="W35" s="1295"/>
      <c r="X35" s="1295"/>
      <c r="Y35" s="1295"/>
      <c r="Z35" s="1295"/>
      <c r="AA35" s="1295"/>
      <c r="AB35" s="1295"/>
      <c r="AC35" s="1295"/>
      <c r="AD35" s="1295"/>
      <c r="AE35" s="1295"/>
      <c r="AF35" s="1295"/>
      <c r="AG35" s="1295"/>
      <c r="AH35" s="1295"/>
      <c r="AI35" s="1295"/>
      <c r="AQ35" s="10">
        <v>14</v>
      </c>
    </row>
    <row r="36" spans="1:43" ht="14.65" customHeight="1">
      <c r="Q36" s="27"/>
      <c r="R36" s="27"/>
      <c r="S36" s="1146" t="s">
        <v>300</v>
      </c>
      <c r="T36" s="1146"/>
      <c r="U36" s="1146"/>
      <c r="V36" s="1146"/>
      <c r="W36" s="1146"/>
      <c r="X36" s="1146"/>
      <c r="Y36" s="1146"/>
      <c r="Z36" s="1146"/>
      <c r="AA36" s="1146"/>
      <c r="AB36" s="1146"/>
      <c r="AC36" s="1146"/>
      <c r="AD36" s="1146"/>
      <c r="AE36" s="1146"/>
      <c r="AF36" s="1146"/>
      <c r="AG36" s="1146"/>
      <c r="AH36" s="1146"/>
      <c r="AI36" s="1146"/>
      <c r="AJ36" s="1146"/>
      <c r="AK36" s="1146" t="s">
        <v>301</v>
      </c>
      <c r="AQ36" s="10">
        <v>14</v>
      </c>
    </row>
    <row r="37" spans="1:43" ht="14.65" customHeight="1">
      <c r="Q37" s="27"/>
      <c r="R37" s="27"/>
      <c r="S37" s="1296" t="s">
        <v>86</v>
      </c>
      <c r="T37" s="1244" t="s">
        <v>426</v>
      </c>
      <c r="U37" s="169"/>
      <c r="V37" s="1297" t="s">
        <v>427</v>
      </c>
      <c r="W37" s="1298"/>
      <c r="X37" s="1298"/>
      <c r="Y37" s="1298"/>
      <c r="Z37" s="1298"/>
      <c r="AA37" s="1299"/>
      <c r="AB37" s="1300" t="s">
        <v>428</v>
      </c>
      <c r="AC37" s="1297" t="s">
        <v>427</v>
      </c>
      <c r="AD37" s="1298"/>
      <c r="AE37" s="1298"/>
      <c r="AF37" s="1298"/>
      <c r="AG37" s="1298"/>
      <c r="AH37" s="1299"/>
      <c r="AI37" s="1300" t="s">
        <v>429</v>
      </c>
      <c r="AJ37" s="1303" t="s">
        <v>430</v>
      </c>
      <c r="AK37" s="1146"/>
      <c r="AQ37" s="10">
        <v>14</v>
      </c>
    </row>
    <row r="38" spans="1:43" ht="35.65" customHeight="1">
      <c r="Q38" s="27"/>
      <c r="R38" s="27"/>
      <c r="S38" s="1296"/>
      <c r="T38" s="1244"/>
      <c r="U38" s="604"/>
      <c r="V38" s="337" t="s">
        <v>486</v>
      </c>
      <c r="W38" s="1128" t="s">
        <v>433</v>
      </c>
      <c r="X38" s="1127"/>
      <c r="Y38" s="1128" t="s">
        <v>434</v>
      </c>
      <c r="Z38" s="1133"/>
      <c r="AA38" s="1127"/>
      <c r="AB38" s="1301"/>
      <c r="AC38" s="337" t="s">
        <v>486</v>
      </c>
      <c r="AD38" s="1128" t="s">
        <v>433</v>
      </c>
      <c r="AE38" s="1127"/>
      <c r="AF38" s="1128" t="s">
        <v>434</v>
      </c>
      <c r="AG38" s="1133"/>
      <c r="AH38" s="1127"/>
      <c r="AI38" s="1301"/>
      <c r="AJ38" s="1304"/>
      <c r="AK38" s="1146"/>
      <c r="AQ38" s="10">
        <v>34</v>
      </c>
    </row>
    <row r="39" spans="1:43" ht="35.65" customHeight="1">
      <c r="A39" s="79"/>
      <c r="B39" s="79" t="s">
        <v>133</v>
      </c>
      <c r="C39" s="79" t="s">
        <v>134</v>
      </c>
      <c r="D39" s="79" t="s">
        <v>135</v>
      </c>
      <c r="E39" s="767" t="s">
        <v>435</v>
      </c>
      <c r="F39" s="767" t="s">
        <v>436</v>
      </c>
      <c r="G39" s="767" t="s">
        <v>437</v>
      </c>
      <c r="H39" s="767"/>
      <c r="I39" s="767" t="s">
        <v>487</v>
      </c>
      <c r="J39" s="767" t="s">
        <v>440</v>
      </c>
      <c r="K39" s="767" t="s">
        <v>488</v>
      </c>
      <c r="L39" s="767" t="s">
        <v>416</v>
      </c>
      <c r="Q39" s="27"/>
      <c r="R39" s="27"/>
      <c r="S39" s="1296"/>
      <c r="T39" s="1244"/>
      <c r="U39" s="170"/>
      <c r="V39" s="337" t="s">
        <v>489</v>
      </c>
      <c r="W39" s="38" t="s">
        <v>490</v>
      </c>
      <c r="X39" s="38" t="s">
        <v>491</v>
      </c>
      <c r="Y39" s="38" t="s">
        <v>444</v>
      </c>
      <c r="Z39" s="1249" t="s">
        <v>445</v>
      </c>
      <c r="AA39" s="1263"/>
      <c r="AB39" s="1302"/>
      <c r="AC39" s="337" t="s">
        <v>489</v>
      </c>
      <c r="AD39" s="38" t="s">
        <v>490</v>
      </c>
      <c r="AE39" s="38" t="s">
        <v>491</v>
      </c>
      <c r="AF39" s="38" t="s">
        <v>444</v>
      </c>
      <c r="AG39" s="1249" t="s">
        <v>445</v>
      </c>
      <c r="AH39" s="1263"/>
      <c r="AI39" s="1302"/>
      <c r="AJ39" s="1305"/>
      <c r="AK39" s="1146"/>
      <c r="AQ39" s="10">
        <v>34</v>
      </c>
    </row>
    <row r="40" spans="1:43" s="200" customFormat="1" ht="11.25" hidden="1" customHeight="1">
      <c r="A40" s="79"/>
      <c r="B40" s="79"/>
      <c r="C40" s="79"/>
      <c r="D40" s="79"/>
      <c r="E40" s="79"/>
      <c r="F40" s="79"/>
      <c r="G40" s="79"/>
      <c r="H40" s="79"/>
      <c r="I40" s="79"/>
      <c r="J40" s="79"/>
      <c r="K40" s="79"/>
      <c r="L40" s="767"/>
      <c r="M40" s="503"/>
      <c r="N40" s="503"/>
      <c r="O40" s="503"/>
      <c r="P40" s="719"/>
      <c r="Q40" s="720"/>
      <c r="R40" s="722">
        <v>1</v>
      </c>
      <c r="S40" s="738" t="s">
        <v>107</v>
      </c>
      <c r="T40" s="723" t="s">
        <v>108</v>
      </c>
      <c r="U40" s="718" t="str">
        <f ca="1">OFFSET(U40,0,-1)</f>
        <v>2</v>
      </c>
      <c r="V40" s="724">
        <f ca="1">OFFSET(V40,0,-1)+1</f>
        <v>3</v>
      </c>
      <c r="W40" s="724">
        <f ca="1">OFFSET(W40,0,-1)+1</f>
        <v>4</v>
      </c>
      <c r="X40" s="724">
        <f ca="1">OFFSET(X40,0,-1)+1</f>
        <v>5</v>
      </c>
      <c r="Y40" s="724">
        <f ca="1">OFFSET(Y40,0,-1)+1</f>
        <v>6</v>
      </c>
      <c r="Z40" s="1294">
        <f ca="1">OFFSET(Z40,0,-1)+1</f>
        <v>7</v>
      </c>
      <c r="AA40" s="1294"/>
      <c r="AB40" s="724">
        <f ca="1">OFFSET(AB40,0,-2)+1</f>
        <v>8</v>
      </c>
      <c r="AC40" s="724">
        <f ca="1">OFFSET(AC40,0,-1)+1</f>
        <v>9</v>
      </c>
      <c r="AD40" s="724">
        <f ca="1">OFFSET(AD40,0,-1)+1</f>
        <v>10</v>
      </c>
      <c r="AE40" s="724">
        <f ca="1">OFFSET(AE40,0,-1)+1</f>
        <v>11</v>
      </c>
      <c r="AF40" s="724">
        <f ca="1">OFFSET(AF40,0,-1)+1</f>
        <v>12</v>
      </c>
      <c r="AG40" s="1294">
        <f ca="1">OFFSET(AG40,0,-1)+1</f>
        <v>13</v>
      </c>
      <c r="AH40" s="1294"/>
      <c r="AI40" s="724">
        <f ca="1">OFFSET(AI40,0,-2)+1</f>
        <v>14</v>
      </c>
      <c r="AJ40" s="718">
        <f ca="1">OFFSET(AJ40,0,-1)</f>
        <v>14</v>
      </c>
      <c r="AK40" s="724">
        <f ca="1">OFFSET(AK40,0,-1)+1</f>
        <v>15</v>
      </c>
      <c r="AL40" s="65"/>
      <c r="AM40" s="65"/>
      <c r="AN40" s="65"/>
      <c r="AO40" s="65"/>
      <c r="AP40" s="65"/>
      <c r="AQ40" s="200">
        <v>0</v>
      </c>
    </row>
    <row r="41" spans="1:43" ht="24" customHeight="1">
      <c r="A41" s="766" t="s">
        <v>222</v>
      </c>
      <c r="B41" s="766"/>
      <c r="C41" s="766"/>
      <c r="D41" s="766"/>
      <c r="E41" s="1283">
        <v>1</v>
      </c>
      <c r="F41" s="766"/>
      <c r="G41" s="766"/>
      <c r="H41" s="766"/>
      <c r="I41" s="766"/>
      <c r="J41" s="766"/>
      <c r="K41" s="766"/>
      <c r="L41" s="767"/>
      <c r="M41" s="423"/>
      <c r="N41" s="423"/>
      <c r="O41" s="423"/>
      <c r="Q41" s="33"/>
      <c r="R41" s="204"/>
      <c r="S41" s="706">
        <f>INDEX(PT_DIFFERENTIATION_NUM_NTAR,MATCH(A41,PT_DIFFERENTIATION_NTAR_ID,0))</f>
        <v>0</v>
      </c>
      <c r="T41" s="64" t="s">
        <v>121</v>
      </c>
      <c r="U41" s="168"/>
      <c r="V41" s="1277"/>
      <c r="W41" s="1278"/>
      <c r="X41" s="1278"/>
      <c r="Y41" s="1278"/>
      <c r="Z41" s="1278"/>
      <c r="AA41" s="1278"/>
      <c r="AB41" s="1279"/>
      <c r="AC41" s="1277" t="str">
        <f>INDEX(PT_DIFFERENTIATION_NTAR,MATCH(A41,PT_DIFFERENTIATION_NTAR_ID,0))</f>
        <v/>
      </c>
      <c r="AD41" s="1278"/>
      <c r="AE41" s="1278"/>
      <c r="AF41" s="1278"/>
      <c r="AG41" s="1278"/>
      <c r="AH41" s="1278"/>
      <c r="AI41" s="1278"/>
      <c r="AJ41" s="1279"/>
      <c r="AK41"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66" t="s">
        <v>222</v>
      </c>
      <c r="B42" s="766" t="s">
        <v>223</v>
      </c>
      <c r="C42" s="766"/>
      <c r="D42" s="766"/>
      <c r="E42" s="1284"/>
      <c r="F42" s="1283">
        <v>1</v>
      </c>
      <c r="G42" s="766"/>
      <c r="H42" s="766"/>
      <c r="I42" s="766"/>
      <c r="J42" s="766"/>
      <c r="K42" s="766"/>
      <c r="L42" s="767"/>
      <c r="M42" s="423"/>
      <c r="N42" s="423"/>
      <c r="O42" s="423"/>
      <c r="P42" s="56"/>
      <c r="Q42" s="201"/>
      <c r="R42" s="202"/>
      <c r="S42" s="706" t="str">
        <f>INDEX(PT_DIFFERENTIATION_NUM_TER,MATCH(B42,PT_DIFFERENTIATION_TER_ID,0))</f>
        <v>.</v>
      </c>
      <c r="T42" s="174" t="s">
        <v>397</v>
      </c>
      <c r="U42" s="168"/>
      <c r="V42" s="1277"/>
      <c r="W42" s="1278"/>
      <c r="X42" s="1278"/>
      <c r="Y42" s="1278"/>
      <c r="Z42" s="1278"/>
      <c r="AA42" s="1278"/>
      <c r="AB42" s="1279"/>
      <c r="AC42" s="1277" t="str">
        <f>INDEX(PT_DIFFERENTIATION_TER,MATCH(B42,PT_DIFFERENTIATION_TER_ID,0))</f>
        <v/>
      </c>
      <c r="AD42" s="1278"/>
      <c r="AE42" s="1278"/>
      <c r="AF42" s="1278"/>
      <c r="AG42" s="1278"/>
      <c r="AH42" s="1278"/>
      <c r="AI42" s="1278"/>
      <c r="AJ42" s="1279"/>
      <c r="AK42" s="726" t="s">
        <v>398</v>
      </c>
      <c r="AM42" s="66"/>
      <c r="AN42" s="66" t="str">
        <f t="shared" si="1"/>
        <v>Территория действия тарифа</v>
      </c>
      <c r="AO42" s="66"/>
      <c r="AP42" s="66"/>
      <c r="AQ42" s="10">
        <v>23</v>
      </c>
    </row>
    <row r="43" spans="1:43" ht="24" customHeight="1">
      <c r="A43" s="766" t="s">
        <v>222</v>
      </c>
      <c r="B43" s="766" t="s">
        <v>223</v>
      </c>
      <c r="C43" s="766" t="s">
        <v>224</v>
      </c>
      <c r="D43" s="766"/>
      <c r="E43" s="1284"/>
      <c r="F43" s="1284"/>
      <c r="G43" s="1283">
        <v>1</v>
      </c>
      <c r="H43" s="766"/>
      <c r="I43" s="766"/>
      <c r="J43" s="766"/>
      <c r="K43" s="766"/>
      <c r="L43" s="767"/>
      <c r="M43" s="423"/>
      <c r="N43" s="423"/>
      <c r="O43" s="423"/>
      <c r="P43" s="203"/>
      <c r="Q43" s="201"/>
      <c r="R43" s="202"/>
      <c r="S43" s="706" t="str">
        <f>INDEX(PT_DIFFERENTIATION_NUM_CS,MATCH(C43,PT_DIFFERENTIATION_CS_ID,0))</f>
        <v>..</v>
      </c>
      <c r="T43" s="175" t="s">
        <v>478</v>
      </c>
      <c r="U43" s="168"/>
      <c r="V43" s="1277"/>
      <c r="W43" s="1278"/>
      <c r="X43" s="1278"/>
      <c r="Y43" s="1278"/>
      <c r="Z43" s="1278"/>
      <c r="AA43" s="1278"/>
      <c r="AB43" s="1279"/>
      <c r="AC43" s="1277" t="str">
        <f>INDEX(PT_DIFFERENTIATION_CS,MATCH(C43,PT_DIFFERENTIATION_CS_ID,0))</f>
        <v/>
      </c>
      <c r="AD43" s="1278"/>
      <c r="AE43" s="1278"/>
      <c r="AF43" s="1278"/>
      <c r="AG43" s="1278"/>
      <c r="AH43" s="1278"/>
      <c r="AI43" s="1278"/>
      <c r="AJ43" s="1279"/>
      <c r="AK43" s="726" t="s">
        <v>479</v>
      </c>
      <c r="AM43" s="66"/>
      <c r="AN43" s="66" t="str">
        <f t="shared" si="1"/>
        <v>Наименование централизованной системы холодного водоснабжения</v>
      </c>
      <c r="AO43" s="66"/>
      <c r="AP43" s="66"/>
      <c r="AQ43" s="10">
        <v>23</v>
      </c>
    </row>
    <row r="44" spans="1:43" ht="24" customHeight="1">
      <c r="A44" s="766" t="s">
        <v>222</v>
      </c>
      <c r="B44" s="766" t="s">
        <v>223</v>
      </c>
      <c r="C44" s="766" t="s">
        <v>224</v>
      </c>
      <c r="D44" s="766" t="s">
        <v>492</v>
      </c>
      <c r="E44" s="1284"/>
      <c r="F44" s="1284"/>
      <c r="G44" s="1284"/>
      <c r="H44" s="1284"/>
      <c r="I44" s="1285" t="str">
        <f>S43&amp;".1"</f>
        <v>...1</v>
      </c>
      <c r="J44" s="766"/>
      <c r="K44" s="766"/>
      <c r="L44" s="767"/>
      <c r="P44" s="1287">
        <v>1</v>
      </c>
      <c r="Q44" s="119"/>
      <c r="R44" s="205"/>
      <c r="S44" s="706" t="str">
        <f>$I44</f>
        <v>...1</v>
      </c>
      <c r="T44" s="161" t="s">
        <v>480</v>
      </c>
      <c r="U44" s="168"/>
      <c r="V44" s="1351"/>
      <c r="W44" s="1352"/>
      <c r="X44" s="1352"/>
      <c r="Y44" s="1352"/>
      <c r="Z44" s="1352"/>
      <c r="AA44" s="1352"/>
      <c r="AB44" s="1353"/>
      <c r="AC44" s="1354"/>
      <c r="AD44" s="1355"/>
      <c r="AE44" s="1355"/>
      <c r="AF44" s="1355"/>
      <c r="AG44" s="1355"/>
      <c r="AH44" s="1355"/>
      <c r="AI44" s="1355"/>
      <c r="AJ44" s="1356"/>
      <c r="AK44" s="726" t="s">
        <v>481</v>
      </c>
      <c r="AM44" s="66"/>
      <c r="AN44" s="66" t="str">
        <f t="shared" si="1"/>
        <v>Наименование признака дифференциации</v>
      </c>
      <c r="AO44" s="66"/>
      <c r="AP44" s="66"/>
      <c r="AQ44" s="10">
        <v>23</v>
      </c>
    </row>
    <row r="45" spans="1:43" ht="24" customHeight="1">
      <c r="A45" s="766" t="s">
        <v>222</v>
      </c>
      <c r="B45" s="766" t="s">
        <v>223</v>
      </c>
      <c r="C45" s="766" t="s">
        <v>224</v>
      </c>
      <c r="D45" s="766" t="s">
        <v>492</v>
      </c>
      <c r="E45" s="1284"/>
      <c r="F45" s="1284"/>
      <c r="G45" s="1284"/>
      <c r="H45" s="1284"/>
      <c r="I45" s="1286"/>
      <c r="J45" s="1285" t="str">
        <f>I44&amp;".1"</f>
        <v>...1.1</v>
      </c>
      <c r="K45" s="766"/>
      <c r="L45" s="767" t="s">
        <v>406</v>
      </c>
      <c r="P45" s="1287"/>
      <c r="Q45" s="1287">
        <v>1</v>
      </c>
      <c r="R45" s="206"/>
      <c r="S45" s="706" t="str">
        <f>$J45</f>
        <v>...1.1</v>
      </c>
      <c r="T45" s="162" t="s">
        <v>407</v>
      </c>
      <c r="U45" s="168"/>
      <c r="V45" s="1271"/>
      <c r="W45" s="1272"/>
      <c r="X45" s="1272"/>
      <c r="Y45" s="1272"/>
      <c r="Z45" s="1272"/>
      <c r="AA45" s="1272"/>
      <c r="AB45" s="1273"/>
      <c r="AC45" s="1271"/>
      <c r="AD45" s="1272"/>
      <c r="AE45" s="1272"/>
      <c r="AF45" s="1272"/>
      <c r="AG45" s="1272"/>
      <c r="AH45" s="1272"/>
      <c r="AI45" s="1272"/>
      <c r="AJ45" s="1273"/>
      <c r="AK45" s="750" t="s">
        <v>482</v>
      </c>
      <c r="AM45" s="66"/>
      <c r="AN45" s="66" t="str">
        <f t="shared" si="1"/>
        <v>Группа потребителей</v>
      </c>
      <c r="AO45" s="66"/>
      <c r="AP45" s="66"/>
      <c r="AQ45" s="10">
        <v>23</v>
      </c>
    </row>
    <row r="46" spans="1:43" ht="24" customHeight="1">
      <c r="A46" s="766" t="s">
        <v>222</v>
      </c>
      <c r="B46" s="766" t="s">
        <v>223</v>
      </c>
      <c r="C46" s="766" t="s">
        <v>224</v>
      </c>
      <c r="D46" s="766" t="s">
        <v>492</v>
      </c>
      <c r="E46" s="1284"/>
      <c r="F46" s="1284"/>
      <c r="G46" s="1284"/>
      <c r="H46" s="1284"/>
      <c r="I46" s="1286"/>
      <c r="J46" s="1286"/>
      <c r="K46" s="1285" t="str">
        <f>J45&amp;".1"</f>
        <v>...1.1.1</v>
      </c>
      <c r="L46" s="767"/>
      <c r="P46" s="1287"/>
      <c r="Q46" s="1287"/>
      <c r="R46" s="206">
        <v>1</v>
      </c>
      <c r="S46" s="706" t="str">
        <f>$K46</f>
        <v>...1.1.1</v>
      </c>
      <c r="T46" s="810"/>
      <c r="U46" s="168"/>
      <c r="V46" s="365"/>
      <c r="W46" s="365"/>
      <c r="X46" s="765"/>
      <c r="Y46" s="1281"/>
      <c r="Z46" s="1280" t="s">
        <v>64</v>
      </c>
      <c r="AA46" s="1281"/>
      <c r="AB46" s="1280" t="s">
        <v>64</v>
      </c>
      <c r="AC46" s="303"/>
      <c r="AD46" s="303"/>
      <c r="AE46" s="725"/>
      <c r="AF46" s="1288"/>
      <c r="AG46" s="1156" t="s">
        <v>64</v>
      </c>
      <c r="AH46" s="1290"/>
      <c r="AI46" s="1156" t="s">
        <v>19</v>
      </c>
      <c r="AJ46" s="811"/>
      <c r="AK46"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66" t="s">
        <v>222</v>
      </c>
      <c r="B47" s="766" t="s">
        <v>223</v>
      </c>
      <c r="C47" s="766" t="s">
        <v>224</v>
      </c>
      <c r="D47" s="766" t="s">
        <v>492</v>
      </c>
      <c r="E47" s="1284"/>
      <c r="F47" s="1284"/>
      <c r="G47" s="1284"/>
      <c r="H47" s="1284"/>
      <c r="I47" s="1286"/>
      <c r="J47" s="1286"/>
      <c r="K47" s="1285"/>
      <c r="L47" s="767"/>
      <c r="P47" s="1287"/>
      <c r="Q47" s="1287"/>
      <c r="R47" s="206"/>
      <c r="S47" s="62"/>
      <c r="T47" s="168"/>
      <c r="U47" s="168"/>
      <c r="V47" s="365"/>
      <c r="W47" s="365"/>
      <c r="X47" s="189" t="str">
        <f>Y46&amp;"-"&amp;AA46</f>
        <v>-</v>
      </c>
      <c r="Y47" s="1280"/>
      <c r="Z47" s="1280"/>
      <c r="AA47" s="1280"/>
      <c r="AB47" s="1280"/>
      <c r="AC47" s="188"/>
      <c r="AD47" s="188"/>
      <c r="AE47" s="189" t="str">
        <f>AF46&amp;"-"&amp;AH46</f>
        <v>-</v>
      </c>
      <c r="AF47" s="1289"/>
      <c r="AG47" s="1156"/>
      <c r="AH47" s="1291"/>
      <c r="AI47" s="1156"/>
      <c r="AJ47" s="385"/>
      <c r="AK47" s="1357"/>
      <c r="AM47" s="66"/>
      <c r="AN47" s="66" t="str">
        <f t="shared" si="1"/>
        <v/>
      </c>
      <c r="AO47" s="66"/>
      <c r="AP47" s="66"/>
      <c r="AQ47" s="10">
        <v>0</v>
      </c>
    </row>
    <row r="48" spans="1:43" ht="21" customHeight="1">
      <c r="A48" s="766" t="s">
        <v>222</v>
      </c>
      <c r="B48" s="766" t="s">
        <v>223</v>
      </c>
      <c r="C48" s="766" t="s">
        <v>224</v>
      </c>
      <c r="D48" s="766" t="s">
        <v>492</v>
      </c>
      <c r="E48" s="1284"/>
      <c r="F48" s="1284"/>
      <c r="G48" s="1284"/>
      <c r="H48" s="1284"/>
      <c r="I48" s="1286"/>
      <c r="J48" s="1285"/>
      <c r="K48" s="766"/>
      <c r="L48" s="767"/>
      <c r="P48" s="1287"/>
      <c r="Q48" s="1287"/>
      <c r="R48" s="205"/>
      <c r="S48" s="739"/>
      <c r="T48" s="163" t="s">
        <v>483</v>
      </c>
      <c r="U48" s="210"/>
      <c r="V48" s="210"/>
      <c r="W48" s="210"/>
      <c r="X48" s="210"/>
      <c r="Y48" s="210"/>
      <c r="Z48" s="210"/>
      <c r="AA48" s="210"/>
      <c r="AB48" s="210"/>
      <c r="AC48" s="210"/>
      <c r="AD48" s="210"/>
      <c r="AE48" s="210"/>
      <c r="AF48" s="210"/>
      <c r="AG48" s="210"/>
      <c r="AH48" s="210"/>
      <c r="AI48" s="210"/>
      <c r="AJ48" s="210"/>
      <c r="AK48" s="726" t="s">
        <v>484</v>
      </c>
      <c r="AM48" s="66"/>
      <c r="AN48" s="66" t="str">
        <f t="shared" si="1"/>
        <v>Добавить значение признака дифференциации</v>
      </c>
      <c r="AO48" s="66"/>
      <c r="AP48" s="66"/>
      <c r="AQ48" s="10">
        <v>20</v>
      </c>
    </row>
    <row r="49" spans="1:43" ht="21.95" customHeight="1">
      <c r="A49" s="766" t="s">
        <v>222</v>
      </c>
      <c r="B49" s="766" t="s">
        <v>223</v>
      </c>
      <c r="C49" s="766" t="s">
        <v>224</v>
      </c>
      <c r="D49" s="766" t="s">
        <v>492</v>
      </c>
      <c r="E49" s="1284"/>
      <c r="F49" s="1284"/>
      <c r="G49" s="1284"/>
      <c r="H49" s="1284"/>
      <c r="I49" s="1285"/>
      <c r="J49" s="766"/>
      <c r="K49" s="766"/>
      <c r="L49" s="767"/>
      <c r="P49" s="1287"/>
      <c r="Q49" s="119"/>
      <c r="R49" s="205"/>
      <c r="S49" s="739"/>
      <c r="T49" s="208" t="s">
        <v>412</v>
      </c>
      <c r="U49" s="210"/>
      <c r="V49" s="210"/>
      <c r="W49" s="210"/>
      <c r="X49" s="210"/>
      <c r="Y49" s="210"/>
      <c r="Z49" s="210"/>
      <c r="AA49" s="210"/>
      <c r="AB49" s="209"/>
      <c r="AC49" s="210"/>
      <c r="AD49" s="210"/>
      <c r="AE49" s="210"/>
      <c r="AF49" s="210"/>
      <c r="AG49" s="210"/>
      <c r="AH49" s="210"/>
      <c r="AI49" s="209"/>
      <c r="AJ49" s="210"/>
      <c r="AK49" s="812"/>
      <c r="AM49" s="66"/>
      <c r="AN49" s="66" t="str">
        <f t="shared" si="1"/>
        <v>Добавить группу потребителей</v>
      </c>
      <c r="AO49" s="66"/>
      <c r="AP49" s="66"/>
      <c r="AQ49" s="10">
        <v>21</v>
      </c>
    </row>
    <row r="50" spans="1:43" ht="21.95" customHeight="1">
      <c r="A50" s="766" t="s">
        <v>222</v>
      </c>
      <c r="B50" s="766" t="s">
        <v>223</v>
      </c>
      <c r="C50" s="766" t="s">
        <v>224</v>
      </c>
      <c r="D50" s="766" t="s">
        <v>492</v>
      </c>
      <c r="E50" s="1284"/>
      <c r="F50" s="1284"/>
      <c r="G50" s="1284"/>
      <c r="H50" s="1283"/>
      <c r="I50" s="766"/>
      <c r="J50" s="766"/>
      <c r="K50" s="766"/>
      <c r="L50" s="767"/>
      <c r="M50" s="423"/>
      <c r="N50" s="423"/>
      <c r="O50" s="60"/>
      <c r="P50" s="33"/>
      <c r="Q50" s="213"/>
      <c r="R50" s="204"/>
      <c r="S50" s="739"/>
      <c r="T50" s="104" t="s">
        <v>485</v>
      </c>
      <c r="U50" s="210"/>
      <c r="V50" s="210"/>
      <c r="W50" s="210"/>
      <c r="X50" s="210"/>
      <c r="Y50" s="210"/>
      <c r="Z50" s="210"/>
      <c r="AA50" s="210"/>
      <c r="AB50" s="209"/>
      <c r="AC50" s="210"/>
      <c r="AD50" s="210"/>
      <c r="AE50" s="210"/>
      <c r="AF50" s="210"/>
      <c r="AG50" s="210"/>
      <c r="AH50" s="210"/>
      <c r="AI50" s="209"/>
      <c r="AJ50" s="210"/>
      <c r="AK50" s="171"/>
      <c r="AM50" s="66"/>
      <c r="AN50" s="66" t="str">
        <f t="shared" si="1"/>
        <v>Добавить наименование признака дифференциации</v>
      </c>
      <c r="AO50" s="66"/>
      <c r="AP50" s="66"/>
      <c r="AQ50" s="10">
        <v>21</v>
      </c>
    </row>
    <row r="51" spans="1:43" s="65" customFormat="1" ht="0" hidden="1" customHeight="1">
      <c r="A51" s="142" t="s">
        <v>222</v>
      </c>
      <c r="B51" s="142" t="s">
        <v>223</v>
      </c>
      <c r="C51" s="142"/>
      <c r="D51" s="142"/>
      <c r="E51" s="1284"/>
      <c r="F51" s="1283"/>
      <c r="G51" s="142"/>
      <c r="H51" s="142"/>
      <c r="I51" s="142"/>
      <c r="J51" s="142"/>
      <c r="K51" s="142"/>
      <c r="L51" s="343"/>
      <c r="M51" s="756"/>
      <c r="N51" s="756"/>
      <c r="P51" s="101"/>
      <c r="Q51" s="752"/>
      <c r="R51" s="101"/>
      <c r="S51" s="757"/>
      <c r="T51" s="759" t="s">
        <v>231</v>
      </c>
      <c r="U51" s="310"/>
      <c r="V51" s="310"/>
      <c r="W51" s="310"/>
      <c r="X51" s="310"/>
      <c r="Y51" s="310"/>
      <c r="Z51" s="310"/>
      <c r="AA51" s="310"/>
      <c r="AB51" s="310"/>
      <c r="AC51" s="310"/>
      <c r="AD51" s="310"/>
      <c r="AE51" s="310"/>
      <c r="AF51" s="310"/>
      <c r="AG51" s="310"/>
      <c r="AH51" s="310"/>
      <c r="AI51" s="310"/>
      <c r="AJ51" s="310"/>
      <c r="AK51" s="310"/>
      <c r="AM51" s="66"/>
      <c r="AN51" s="66" t="str">
        <f t="shared" si="1"/>
        <v>Добавить централизованную систему для дифференциации</v>
      </c>
      <c r="AO51" s="66"/>
      <c r="AP51" s="66"/>
      <c r="AQ51" s="65">
        <v>0</v>
      </c>
    </row>
    <row r="52" spans="1:43" s="65" customFormat="1" ht="0" hidden="1" customHeight="1">
      <c r="A52" s="142" t="s">
        <v>222</v>
      </c>
      <c r="B52" s="142"/>
      <c r="C52" s="142"/>
      <c r="D52" s="142"/>
      <c r="E52" s="1283"/>
      <c r="F52" s="142"/>
      <c r="G52" s="142"/>
      <c r="H52" s="142"/>
      <c r="I52" s="142"/>
      <c r="J52" s="142"/>
      <c r="K52" s="142"/>
      <c r="L52" s="343"/>
      <c r="M52" s="756"/>
      <c r="N52" s="756"/>
      <c r="P52" s="101"/>
      <c r="Q52" s="752"/>
      <c r="R52" s="101"/>
      <c r="S52" s="757"/>
      <c r="T52" s="759" t="s">
        <v>232</v>
      </c>
      <c r="U52" s="310"/>
      <c r="V52" s="310"/>
      <c r="W52" s="310"/>
      <c r="X52" s="310"/>
      <c r="Y52" s="310"/>
      <c r="Z52" s="310"/>
      <c r="AA52" s="310"/>
      <c r="AB52" s="310"/>
      <c r="AC52" s="310"/>
      <c r="AD52" s="310"/>
      <c r="AE52" s="310"/>
      <c r="AF52" s="310"/>
      <c r="AG52" s="310"/>
      <c r="AH52" s="310"/>
      <c r="AI52" s="310"/>
      <c r="AJ52" s="310"/>
      <c r="AK52" s="310"/>
      <c r="AM52" s="66"/>
      <c r="AN52" s="66" t="str">
        <f t="shared" si="1"/>
        <v>Добавить территорию для дифференциации</v>
      </c>
      <c r="AO52" s="66"/>
      <c r="AP52" s="66"/>
      <c r="AQ52" s="65">
        <v>0</v>
      </c>
    </row>
    <row r="53" spans="1:43" s="65" customFormat="1" ht="0" hidden="1" customHeight="1">
      <c r="A53" s="142"/>
      <c r="B53" s="142"/>
      <c r="C53" s="142"/>
      <c r="D53" s="142"/>
      <c r="E53" s="142"/>
      <c r="F53" s="142"/>
      <c r="G53" s="142"/>
      <c r="H53" s="142"/>
      <c r="I53" s="142"/>
      <c r="J53" s="142"/>
      <c r="K53" s="142"/>
      <c r="L53" s="343"/>
      <c r="M53" s="756"/>
      <c r="N53" s="756"/>
      <c r="P53" s="101"/>
      <c r="Q53" s="752"/>
      <c r="R53" s="101"/>
      <c r="S53" s="757"/>
      <c r="T53" s="759" t="s">
        <v>233</v>
      </c>
      <c r="U53" s="310"/>
      <c r="V53" s="310"/>
      <c r="W53" s="310"/>
      <c r="X53" s="310"/>
      <c r="Y53" s="310"/>
      <c r="Z53" s="310"/>
      <c r="AA53" s="310"/>
      <c r="AB53" s="310"/>
      <c r="AC53" s="310"/>
      <c r="AD53" s="310"/>
      <c r="AE53" s="310"/>
      <c r="AF53" s="310"/>
      <c r="AG53" s="310"/>
      <c r="AH53" s="310"/>
      <c r="AI53" s="310"/>
      <c r="AJ53" s="310"/>
      <c r="AK53" s="310"/>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5"/>
      <c r="T55" s="1282"/>
      <c r="U55" s="1282"/>
      <c r="V55" s="1282"/>
      <c r="W55" s="1282"/>
      <c r="X55" s="1282"/>
      <c r="Y55" s="1282"/>
      <c r="Z55" s="1282"/>
      <c r="AA55" s="1282"/>
      <c r="AB55" s="1282"/>
      <c r="AC55" s="1282"/>
      <c r="AD55" s="1282"/>
      <c r="AE55" s="1282"/>
      <c r="AF55" s="1282"/>
      <c r="AG55" s="1282"/>
      <c r="AH55" s="1282"/>
      <c r="AI55" s="1282"/>
      <c r="AJ55" s="1282"/>
      <c r="AK55" s="1282"/>
      <c r="AQ55" s="10">
        <v>14</v>
      </c>
    </row>
    <row r="56" spans="1:43" ht="14.65" customHeight="1">
      <c r="O56" s="60"/>
      <c r="AQ56" s="10">
        <v>14</v>
      </c>
    </row>
    <row r="57" spans="1:43" ht="14.65" customHeight="1">
      <c r="O57" s="60"/>
      <c r="S57" s="195"/>
      <c r="T57" s="1282"/>
      <c r="U57" s="1282"/>
      <c r="V57" s="1282"/>
      <c r="W57" s="1282"/>
      <c r="X57" s="1282"/>
      <c r="Y57" s="1282"/>
      <c r="Z57" s="1282"/>
      <c r="AA57" s="1282"/>
      <c r="AB57" s="1282"/>
      <c r="AC57" s="1282"/>
      <c r="AD57" s="1282"/>
      <c r="AE57" s="1282"/>
      <c r="AF57" s="1282"/>
      <c r="AG57" s="1282"/>
      <c r="AH57" s="1282"/>
      <c r="AI57" s="1282"/>
      <c r="AJ57" s="1282"/>
      <c r="AK57" s="1282"/>
      <c r="AQ57" s="10">
        <v>14</v>
      </c>
    </row>
    <row r="58" spans="1:43" ht="22.5" hidden="1" customHeight="1">
      <c r="A58" s="60" t="s">
        <v>80</v>
      </c>
      <c r="B58" s="60">
        <v>0</v>
      </c>
      <c r="C58" s="60">
        <v>0</v>
      </c>
      <c r="D58" s="60">
        <v>0</v>
      </c>
      <c r="E58" s="60">
        <v>0</v>
      </c>
      <c r="F58" s="60">
        <v>0</v>
      </c>
      <c r="G58" s="60">
        <v>0</v>
      </c>
      <c r="H58" s="60">
        <v>0</v>
      </c>
      <c r="I58" s="60">
        <v>0</v>
      </c>
      <c r="J58" s="60">
        <v>0</v>
      </c>
      <c r="K58" s="60">
        <v>0</v>
      </c>
      <c r="L58" s="298">
        <v>0</v>
      </c>
      <c r="M58" s="503">
        <v>0</v>
      </c>
      <c r="N58" s="503">
        <v>0</v>
      </c>
      <c r="O58" s="503">
        <v>0</v>
      </c>
      <c r="P58" s="32">
        <v>3</v>
      </c>
      <c r="Q58" s="28">
        <v>3</v>
      </c>
      <c r="R58" s="28">
        <v>3</v>
      </c>
      <c r="S58" s="339">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L58"/>
  <sheetViews>
    <sheetView showGridLines="0" zoomScale="90" workbookViewId="0">
      <pane xSplit="28" ySplit="40" topLeftCell="AK41" activePane="bottomRight" state="frozen"/>
      <selection pane="topRight" activeCell="AC1" sqref="AC1"/>
      <selection pane="bottomLeft" activeCell="A41" sqref="A41"/>
      <selection pane="bottomRight" activeCell="AQ54" sqref="AQ54"/>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8" hidden="1" customWidth="1"/>
    <col min="13" max="14" width="12.28515625" style="503" hidden="1" customWidth="1"/>
    <col min="15" max="15" width="23.42578125" style="503" hidden="1" customWidth="1"/>
    <col min="16" max="16" width="3" style="32" customWidth="1"/>
    <col min="17" max="18" width="3" style="28" customWidth="1"/>
    <col min="19" max="19" width="12" style="339"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customWidth="1"/>
    <col min="56" max="56" width="10.5703125" hidden="1"/>
    <col min="57" max="57" width="4" style="10" customWidth="1"/>
    <col min="58" max="58" width="115" style="10" customWidth="1"/>
    <col min="59" max="63" width="10" style="65" customWidth="1"/>
    <col min="64" max="64" width="10.5703125" style="10" hidden="1"/>
  </cols>
  <sheetData>
    <row r="1" spans="1:64" ht="22.5" hidden="1" customHeight="1">
      <c r="AJ1" s="10"/>
      <c r="AK1" s="10"/>
      <c r="AL1" s="10"/>
      <c r="AM1" s="10"/>
      <c r="AN1" s="10"/>
      <c r="AO1" s="10"/>
      <c r="AP1" s="10"/>
      <c r="AQ1" s="10"/>
      <c r="AR1" s="10"/>
      <c r="AS1" s="10"/>
      <c r="AT1" s="10"/>
      <c r="AU1" s="10"/>
      <c r="AV1" s="10"/>
      <c r="AW1" s="10"/>
      <c r="AX1" s="10"/>
      <c r="AY1" s="10"/>
      <c r="AZ1" s="10"/>
      <c r="BA1" s="10"/>
      <c r="BB1" s="10"/>
      <c r="BC1" s="10"/>
      <c r="BD1" s="10"/>
      <c r="BL1" s="10" t="s">
        <v>14</v>
      </c>
    </row>
    <row r="2" spans="1:64" ht="23.25" hidden="1" customHeight="1">
      <c r="A2" s="766"/>
      <c r="B2" s="766"/>
      <c r="C2" s="766"/>
      <c r="D2" s="766"/>
      <c r="E2" s="1283">
        <v>1</v>
      </c>
      <c r="F2" s="766"/>
      <c r="G2" s="766"/>
      <c r="H2" s="766"/>
      <c r="I2" s="766"/>
      <c r="J2" s="766"/>
      <c r="K2" s="766"/>
      <c r="L2" s="767"/>
      <c r="M2" s="423"/>
      <c r="N2" s="423"/>
      <c r="O2" s="423"/>
      <c r="Q2" s="33"/>
      <c r="R2" s="204"/>
      <c r="S2" s="706" t="e">
        <f>INDEX(PT_DIFFERENTIATION_NUM_NTAR,MATCH(A2,PT_DIFFERENTIATION_NTAR_ID,0))</f>
        <v>#N/A</v>
      </c>
      <c r="T2" s="64" t="s">
        <v>121</v>
      </c>
      <c r="U2" s="168"/>
      <c r="V2" s="1277"/>
      <c r="W2" s="1278"/>
      <c r="X2" s="1278"/>
      <c r="Y2" s="1278"/>
      <c r="Z2" s="1278"/>
      <c r="AA2" s="1278"/>
      <c r="AB2" s="1279"/>
      <c r="AC2" s="1277" t="e">
        <f>INDEX(PT_DIFFERENTIATION_NTAR,MATCH(A2,PT_DIFFERENTIATION_NTAR_ID,0))</f>
        <v>#N/A</v>
      </c>
      <c r="AD2" s="1278"/>
      <c r="AE2" s="1278"/>
      <c r="AF2" s="1278"/>
      <c r="AG2" s="1278"/>
      <c r="AH2" s="1278"/>
      <c r="AI2" s="1278"/>
      <c r="AJ2" s="1277"/>
      <c r="AK2" s="1278"/>
      <c r="AL2" s="1278"/>
      <c r="AM2" s="1278"/>
      <c r="AN2" s="1278"/>
      <c r="AO2" s="1278"/>
      <c r="AP2" s="1279"/>
      <c r="AQ2" s="1277"/>
      <c r="AR2" s="1278"/>
      <c r="AS2" s="1278"/>
      <c r="AT2" s="1278"/>
      <c r="AU2" s="1278"/>
      <c r="AV2" s="1278"/>
      <c r="AW2" s="1279"/>
      <c r="AX2" s="1277"/>
      <c r="AY2" s="1278"/>
      <c r="AZ2" s="1278"/>
      <c r="BA2" s="1278"/>
      <c r="BB2" s="1278"/>
      <c r="BC2" s="1278"/>
      <c r="BD2" s="1279"/>
      <c r="BE2" s="1279"/>
      <c r="BF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H2" s="66"/>
      <c r="BI2" s="66" t="str">
        <f t="shared" ref="BI2:BI13" si="0">IF(T2="","",T2)</f>
        <v>Наименование тарифа</v>
      </c>
      <c r="BJ2" s="66"/>
      <c r="BK2" s="66"/>
      <c r="BL2" s="10">
        <v>0</v>
      </c>
    </row>
    <row r="3" spans="1:64" ht="23.25" hidden="1" customHeight="1">
      <c r="A3" s="766"/>
      <c r="B3" s="766"/>
      <c r="C3" s="766"/>
      <c r="D3" s="766"/>
      <c r="E3" s="1284"/>
      <c r="F3" s="1283">
        <v>1</v>
      </c>
      <c r="G3" s="766"/>
      <c r="H3" s="766"/>
      <c r="I3" s="766"/>
      <c r="J3" s="766"/>
      <c r="K3" s="766"/>
      <c r="L3" s="767"/>
      <c r="M3" s="423"/>
      <c r="N3" s="423"/>
      <c r="O3" s="423"/>
      <c r="P3" s="56"/>
      <c r="Q3" s="201"/>
      <c r="R3" s="202"/>
      <c r="S3" s="706" t="e">
        <f>INDEX(PT_DIFFERENTIATION_NUM_TER,MATCH(B3,PT_DIFFERENTIATION_TER_ID,0))</f>
        <v>#N/A</v>
      </c>
      <c r="T3" s="174" t="s">
        <v>397</v>
      </c>
      <c r="U3" s="168"/>
      <c r="V3" s="1277"/>
      <c r="W3" s="1278"/>
      <c r="X3" s="1278"/>
      <c r="Y3" s="1278"/>
      <c r="Z3" s="1278"/>
      <c r="AA3" s="1278"/>
      <c r="AB3" s="1279"/>
      <c r="AC3" s="1277" t="e">
        <f>INDEX(PT_DIFFERENTIATION_TER,MATCH(B3,PT_DIFFERENTIATION_TER_ID,0))</f>
        <v>#N/A</v>
      </c>
      <c r="AD3" s="1278"/>
      <c r="AE3" s="1278"/>
      <c r="AF3" s="1278"/>
      <c r="AG3" s="1278"/>
      <c r="AH3" s="1278"/>
      <c r="AI3" s="1278"/>
      <c r="AJ3" s="1277"/>
      <c r="AK3" s="1278"/>
      <c r="AL3" s="1278"/>
      <c r="AM3" s="1278"/>
      <c r="AN3" s="1278"/>
      <c r="AO3" s="1278"/>
      <c r="AP3" s="1279"/>
      <c r="AQ3" s="1277"/>
      <c r="AR3" s="1278"/>
      <c r="AS3" s="1278"/>
      <c r="AT3" s="1278"/>
      <c r="AU3" s="1278"/>
      <c r="AV3" s="1278"/>
      <c r="AW3" s="1279"/>
      <c r="AX3" s="1277"/>
      <c r="AY3" s="1278"/>
      <c r="AZ3" s="1278"/>
      <c r="BA3" s="1278"/>
      <c r="BB3" s="1278"/>
      <c r="BC3" s="1278"/>
      <c r="BD3" s="1279"/>
      <c r="BE3" s="1279"/>
      <c r="BF3" s="726" t="s">
        <v>398</v>
      </c>
      <c r="BH3" s="66"/>
      <c r="BI3" s="66" t="str">
        <f t="shared" si="0"/>
        <v>Территория действия тарифа</v>
      </c>
      <c r="BJ3" s="66"/>
      <c r="BK3" s="66"/>
      <c r="BL3" s="10">
        <v>0</v>
      </c>
    </row>
    <row r="4" spans="1:64" ht="23.25" hidden="1" customHeight="1">
      <c r="A4" s="766"/>
      <c r="B4" s="766"/>
      <c r="C4" s="766"/>
      <c r="D4" s="766"/>
      <c r="E4" s="1284"/>
      <c r="F4" s="1284"/>
      <c r="G4" s="1283">
        <v>1</v>
      </c>
      <c r="H4" s="766"/>
      <c r="I4" s="766"/>
      <c r="J4" s="766"/>
      <c r="K4" s="766"/>
      <c r="L4" s="767"/>
      <c r="M4" s="423"/>
      <c r="N4" s="423"/>
      <c r="O4" s="423"/>
      <c r="P4" s="203"/>
      <c r="Q4" s="201"/>
      <c r="R4" s="202"/>
      <c r="S4" s="706" t="e">
        <f>INDEX(PT_DIFFERENTIATION_NUM_CS,MATCH(C4,PT_DIFFERENTIATION_CS_ID,0))</f>
        <v>#N/A</v>
      </c>
      <c r="T4" s="175" t="s">
        <v>478</v>
      </c>
      <c r="U4" s="168"/>
      <c r="V4" s="1277"/>
      <c r="W4" s="1278"/>
      <c r="X4" s="1278"/>
      <c r="Y4" s="1278"/>
      <c r="Z4" s="1278"/>
      <c r="AA4" s="1278"/>
      <c r="AB4" s="1279"/>
      <c r="AC4" s="1277" t="e">
        <f>INDEX(PT_DIFFERENTIATION_CS,MATCH(C4,PT_DIFFERENTIATION_CS_ID,0))</f>
        <v>#N/A</v>
      </c>
      <c r="AD4" s="1278"/>
      <c r="AE4" s="1278"/>
      <c r="AF4" s="1278"/>
      <c r="AG4" s="1278"/>
      <c r="AH4" s="1278"/>
      <c r="AI4" s="1278"/>
      <c r="AJ4" s="1277"/>
      <c r="AK4" s="1278"/>
      <c r="AL4" s="1278"/>
      <c r="AM4" s="1278"/>
      <c r="AN4" s="1278"/>
      <c r="AO4" s="1278"/>
      <c r="AP4" s="1279"/>
      <c r="AQ4" s="1277"/>
      <c r="AR4" s="1278"/>
      <c r="AS4" s="1278"/>
      <c r="AT4" s="1278"/>
      <c r="AU4" s="1278"/>
      <c r="AV4" s="1278"/>
      <c r="AW4" s="1279"/>
      <c r="AX4" s="1277"/>
      <c r="AY4" s="1278"/>
      <c r="AZ4" s="1278"/>
      <c r="BA4" s="1278"/>
      <c r="BB4" s="1278"/>
      <c r="BC4" s="1278"/>
      <c r="BD4" s="1279"/>
      <c r="BE4" s="1279"/>
      <c r="BF4" s="726" t="s">
        <v>479</v>
      </c>
      <c r="BH4" s="66"/>
      <c r="BI4" s="66" t="str">
        <f t="shared" si="0"/>
        <v>Наименование централизованной системы холодного водоснабжения</v>
      </c>
      <c r="BJ4" s="66"/>
      <c r="BK4" s="66"/>
      <c r="BL4" s="10">
        <v>0</v>
      </c>
    </row>
    <row r="5" spans="1:64" ht="23.25" hidden="1" customHeight="1">
      <c r="A5" s="766"/>
      <c r="B5" s="766"/>
      <c r="C5" s="766"/>
      <c r="D5" s="766"/>
      <c r="E5" s="1284"/>
      <c r="F5" s="1284"/>
      <c r="G5" s="1284"/>
      <c r="H5" s="1284"/>
      <c r="I5" s="1285" t="e">
        <f>S4&amp;".1"</f>
        <v>#N/A</v>
      </c>
      <c r="J5" s="766"/>
      <c r="K5" s="766"/>
      <c r="L5" s="767"/>
      <c r="P5" s="1287">
        <v>1</v>
      </c>
      <c r="Q5" s="119"/>
      <c r="R5" s="205"/>
      <c r="S5" s="706" t="e">
        <f>$I5</f>
        <v>#N/A</v>
      </c>
      <c r="T5" s="161" t="s">
        <v>480</v>
      </c>
      <c r="U5" s="168"/>
      <c r="V5" s="1351"/>
      <c r="W5" s="1352"/>
      <c r="X5" s="1352"/>
      <c r="Y5" s="1352"/>
      <c r="Z5" s="1352"/>
      <c r="AA5" s="1352"/>
      <c r="AB5" s="1353"/>
      <c r="AC5" s="1354"/>
      <c r="AD5" s="1355"/>
      <c r="AE5" s="1355"/>
      <c r="AF5" s="1355"/>
      <c r="AG5" s="1355"/>
      <c r="AH5" s="1355"/>
      <c r="AI5" s="1355"/>
      <c r="AJ5" s="1351"/>
      <c r="AK5" s="1352"/>
      <c r="AL5" s="1352"/>
      <c r="AM5" s="1352"/>
      <c r="AN5" s="1352"/>
      <c r="AO5" s="1352"/>
      <c r="AP5" s="1353"/>
      <c r="AQ5" s="1351"/>
      <c r="AR5" s="1352"/>
      <c r="AS5" s="1352"/>
      <c r="AT5" s="1352"/>
      <c r="AU5" s="1352"/>
      <c r="AV5" s="1352"/>
      <c r="AW5" s="1353"/>
      <c r="AX5" s="1351"/>
      <c r="AY5" s="1352"/>
      <c r="AZ5" s="1352"/>
      <c r="BA5" s="1352"/>
      <c r="BB5" s="1352"/>
      <c r="BC5" s="1352"/>
      <c r="BD5" s="1353"/>
      <c r="BE5" s="1356"/>
      <c r="BF5" s="726" t="s">
        <v>481</v>
      </c>
      <c r="BH5" s="66"/>
      <c r="BI5" s="66" t="str">
        <f t="shared" si="0"/>
        <v>Наименование признака дифференциации</v>
      </c>
      <c r="BJ5" s="66"/>
      <c r="BK5" s="66"/>
      <c r="BL5" s="10">
        <v>0</v>
      </c>
    </row>
    <row r="6" spans="1:64" ht="23.25" hidden="1" customHeight="1">
      <c r="A6" s="766"/>
      <c r="B6" s="766"/>
      <c r="C6" s="766"/>
      <c r="D6" s="766"/>
      <c r="E6" s="1284"/>
      <c r="F6" s="1284"/>
      <c r="G6" s="1284"/>
      <c r="H6" s="1284"/>
      <c r="I6" s="1286"/>
      <c r="J6" s="1285" t="e">
        <f>I5&amp;".1"</f>
        <v>#N/A</v>
      </c>
      <c r="K6" s="766"/>
      <c r="L6" s="767" t="s">
        <v>406</v>
      </c>
      <c r="P6" s="1287"/>
      <c r="Q6" s="1287">
        <v>1</v>
      </c>
      <c r="R6" s="206"/>
      <c r="S6" s="706" t="e">
        <f>$J6</f>
        <v>#N/A</v>
      </c>
      <c r="T6" s="162" t="s">
        <v>407</v>
      </c>
      <c r="U6" s="168"/>
      <c r="V6" s="1271"/>
      <c r="W6" s="1272"/>
      <c r="X6" s="1272"/>
      <c r="Y6" s="1272"/>
      <c r="Z6" s="1272"/>
      <c r="AA6" s="1272"/>
      <c r="AB6" s="1273"/>
      <c r="AC6" s="1271"/>
      <c r="AD6" s="1272"/>
      <c r="AE6" s="1272"/>
      <c r="AF6" s="1272"/>
      <c r="AG6" s="1272"/>
      <c r="AH6" s="1272"/>
      <c r="AI6" s="1272"/>
      <c r="AJ6" s="1271"/>
      <c r="AK6" s="1272"/>
      <c r="AL6" s="1272"/>
      <c r="AM6" s="1272"/>
      <c r="AN6" s="1272"/>
      <c r="AO6" s="1272"/>
      <c r="AP6" s="1273"/>
      <c r="AQ6" s="1271"/>
      <c r="AR6" s="1272"/>
      <c r="AS6" s="1272"/>
      <c r="AT6" s="1272"/>
      <c r="AU6" s="1272"/>
      <c r="AV6" s="1272"/>
      <c r="AW6" s="1273"/>
      <c r="AX6" s="1271"/>
      <c r="AY6" s="1272"/>
      <c r="AZ6" s="1272"/>
      <c r="BA6" s="1272"/>
      <c r="BB6" s="1272"/>
      <c r="BC6" s="1272"/>
      <c r="BD6" s="1273"/>
      <c r="BE6" s="1273"/>
      <c r="BF6" s="750" t="s">
        <v>482</v>
      </c>
      <c r="BH6" s="66"/>
      <c r="BI6" s="66" t="str">
        <f t="shared" si="0"/>
        <v>Группа потребителей</v>
      </c>
      <c r="BJ6" s="66"/>
      <c r="BK6" s="66"/>
      <c r="BL6" s="10">
        <v>0</v>
      </c>
    </row>
    <row r="7" spans="1:64" ht="23.25" hidden="1" customHeight="1">
      <c r="A7" s="766"/>
      <c r="B7" s="766"/>
      <c r="C7" s="766"/>
      <c r="D7" s="766"/>
      <c r="E7" s="1284"/>
      <c r="F7" s="1284"/>
      <c r="G7" s="1284"/>
      <c r="H7" s="1284"/>
      <c r="I7" s="1286"/>
      <c r="J7" s="1286"/>
      <c r="K7" s="1285" t="e">
        <f>J6&amp;".1"</f>
        <v>#N/A</v>
      </c>
      <c r="L7" s="767"/>
      <c r="P7" s="1287"/>
      <c r="Q7" s="1287"/>
      <c r="R7" s="206">
        <v>1</v>
      </c>
      <c r="S7" s="706" t="e">
        <f>$K7</f>
        <v>#N/A</v>
      </c>
      <c r="T7" s="810"/>
      <c r="U7" s="168"/>
      <c r="V7" s="303"/>
      <c r="W7" s="303"/>
      <c r="X7" s="725"/>
      <c r="Y7" s="1288"/>
      <c r="Z7" s="1156" t="s">
        <v>64</v>
      </c>
      <c r="AA7" s="1288"/>
      <c r="AB7" s="1156" t="s">
        <v>64</v>
      </c>
      <c r="AC7" s="303"/>
      <c r="AD7" s="303"/>
      <c r="AE7" s="725"/>
      <c r="AF7" s="1288"/>
      <c r="AG7" s="1156" t="s">
        <v>64</v>
      </c>
      <c r="AH7" s="1290"/>
      <c r="AI7" s="1156" t="s">
        <v>64</v>
      </c>
      <c r="AJ7" s="303"/>
      <c r="AK7" s="303"/>
      <c r="AL7" s="725"/>
      <c r="AM7" s="1288"/>
      <c r="AN7" s="1156" t="s">
        <v>64</v>
      </c>
      <c r="AO7" s="1288"/>
      <c r="AP7" s="1156" t="s">
        <v>64</v>
      </c>
      <c r="AQ7" s="303"/>
      <c r="AR7" s="303"/>
      <c r="AS7" s="725"/>
      <c r="AT7" s="1288"/>
      <c r="AU7" s="1156" t="s">
        <v>64</v>
      </c>
      <c r="AV7" s="1288"/>
      <c r="AW7" s="1156" t="s">
        <v>64</v>
      </c>
      <c r="AX7" s="303"/>
      <c r="AY7" s="303"/>
      <c r="AZ7" s="725"/>
      <c r="BA7" s="1288"/>
      <c r="BB7" s="1156" t="s">
        <v>64</v>
      </c>
      <c r="BC7" s="1288"/>
      <c r="BD7" s="1156" t="s">
        <v>64</v>
      </c>
      <c r="BE7" s="811"/>
      <c r="BF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7" s="65" t="e">
        <f ca="1">STRCHECKDATE(V8:BE8)</f>
        <v>#NAME?</v>
      </c>
      <c r="BH7" s="66"/>
      <c r="BI7" s="66" t="str">
        <f t="shared" si="0"/>
        <v/>
      </c>
      <c r="BJ7" s="66"/>
      <c r="BK7" s="66"/>
      <c r="BL7" s="10">
        <v>0</v>
      </c>
    </row>
    <row r="8" spans="1:64" ht="14.25" hidden="1" customHeight="1">
      <c r="A8" s="766"/>
      <c r="B8" s="766"/>
      <c r="C8" s="766"/>
      <c r="D8" s="766"/>
      <c r="E8" s="1284"/>
      <c r="F8" s="1284"/>
      <c r="G8" s="1284"/>
      <c r="H8" s="1284"/>
      <c r="I8" s="1286"/>
      <c r="J8" s="1286"/>
      <c r="K8" s="1285"/>
      <c r="L8" s="767"/>
      <c r="P8" s="1287"/>
      <c r="Q8" s="1287"/>
      <c r="R8" s="206"/>
      <c r="S8" s="62"/>
      <c r="T8" s="168"/>
      <c r="U8" s="168"/>
      <c r="V8" s="188"/>
      <c r="W8" s="188"/>
      <c r="X8" s="189" t="str">
        <f>Y7&amp;"-"&amp;AA7</f>
        <v>-</v>
      </c>
      <c r="Y8" s="1289"/>
      <c r="Z8" s="1156"/>
      <c r="AA8" s="1289"/>
      <c r="AB8" s="1156"/>
      <c r="AC8" s="188"/>
      <c r="AD8" s="188"/>
      <c r="AE8" s="189" t="str">
        <f>AF7&amp;"-"&amp;AH7</f>
        <v>-</v>
      </c>
      <c r="AF8" s="1289"/>
      <c r="AG8" s="1156"/>
      <c r="AH8" s="1291"/>
      <c r="AI8" s="1156"/>
      <c r="AJ8" s="188"/>
      <c r="AK8" s="188"/>
      <c r="AL8" s="189" t="str">
        <f>AM7&amp;"-"&amp;AO7</f>
        <v>-</v>
      </c>
      <c r="AM8" s="1289"/>
      <c r="AN8" s="1156"/>
      <c r="AO8" s="1289"/>
      <c r="AP8" s="1156"/>
      <c r="AQ8" s="188"/>
      <c r="AR8" s="188"/>
      <c r="AS8" s="189" t="str">
        <f>AT7&amp;"-"&amp;AV7</f>
        <v>-</v>
      </c>
      <c r="AT8" s="1289"/>
      <c r="AU8" s="1156"/>
      <c r="AV8" s="1289"/>
      <c r="AW8" s="1156"/>
      <c r="AX8" s="188"/>
      <c r="AY8" s="188"/>
      <c r="AZ8" s="189" t="str">
        <f>BA7&amp;"-"&amp;BC7</f>
        <v>-</v>
      </c>
      <c r="BA8" s="1289"/>
      <c r="BB8" s="1156"/>
      <c r="BC8" s="1289"/>
      <c r="BD8" s="1156"/>
      <c r="BE8" s="385"/>
      <c r="BF8" s="1357"/>
      <c r="BH8" s="66"/>
      <c r="BI8" s="66" t="str">
        <f t="shared" si="0"/>
        <v/>
      </c>
      <c r="BJ8" s="66"/>
      <c r="BK8" s="66"/>
      <c r="BL8" s="10">
        <v>0</v>
      </c>
    </row>
    <row r="9" spans="1:64" ht="21" hidden="1" customHeight="1">
      <c r="A9" s="766"/>
      <c r="B9" s="766"/>
      <c r="C9" s="766"/>
      <c r="D9" s="766"/>
      <c r="E9" s="1284"/>
      <c r="F9" s="1284"/>
      <c r="G9" s="1284"/>
      <c r="H9" s="1284"/>
      <c r="I9" s="1286"/>
      <c r="J9" s="1285"/>
      <c r="K9" s="766"/>
      <c r="L9" s="767"/>
      <c r="P9" s="1287"/>
      <c r="Q9" s="1287"/>
      <c r="R9" s="205"/>
      <c r="S9" s="739"/>
      <c r="T9" s="163" t="s">
        <v>483</v>
      </c>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726" t="s">
        <v>484</v>
      </c>
      <c r="BH9" s="66"/>
      <c r="BI9" s="66" t="str">
        <f t="shared" si="0"/>
        <v>Добавить значение признака дифференциации</v>
      </c>
      <c r="BJ9" s="66"/>
      <c r="BK9" s="66"/>
      <c r="BL9" s="10">
        <v>0</v>
      </c>
    </row>
    <row r="10" spans="1:64" ht="21" hidden="1" customHeight="1">
      <c r="A10" s="766"/>
      <c r="B10" s="766"/>
      <c r="C10" s="766"/>
      <c r="D10" s="766"/>
      <c r="E10" s="1284"/>
      <c r="F10" s="1284"/>
      <c r="G10" s="1284"/>
      <c r="H10" s="1284"/>
      <c r="I10" s="1285"/>
      <c r="J10" s="766"/>
      <c r="K10" s="766"/>
      <c r="L10" s="767"/>
      <c r="P10" s="1287"/>
      <c r="Q10" s="119"/>
      <c r="R10" s="205"/>
      <c r="S10" s="739"/>
      <c r="T10" s="208" t="s">
        <v>412</v>
      </c>
      <c r="U10" s="210"/>
      <c r="V10" s="210"/>
      <c r="W10" s="210"/>
      <c r="X10" s="210"/>
      <c r="Y10" s="210"/>
      <c r="Z10" s="210"/>
      <c r="AA10" s="210"/>
      <c r="AB10" s="209"/>
      <c r="AC10" s="210"/>
      <c r="AD10" s="210"/>
      <c r="AE10" s="210"/>
      <c r="AF10" s="210"/>
      <c r="AG10" s="210"/>
      <c r="AH10" s="210"/>
      <c r="AI10" s="209"/>
      <c r="AJ10" s="210"/>
      <c r="AK10" s="210"/>
      <c r="AL10" s="210"/>
      <c r="AM10" s="210"/>
      <c r="AN10" s="210"/>
      <c r="AO10" s="210"/>
      <c r="AP10" s="209"/>
      <c r="AQ10" s="210"/>
      <c r="AR10" s="210"/>
      <c r="AS10" s="210"/>
      <c r="AT10" s="210"/>
      <c r="AU10" s="210"/>
      <c r="AV10" s="210"/>
      <c r="AW10" s="209"/>
      <c r="AX10" s="210"/>
      <c r="AY10" s="210"/>
      <c r="AZ10" s="210"/>
      <c r="BA10" s="210"/>
      <c r="BB10" s="210"/>
      <c r="BC10" s="210"/>
      <c r="BD10" s="209"/>
      <c r="BE10" s="210"/>
      <c r="BF10" s="812"/>
      <c r="BH10" s="66"/>
      <c r="BI10" s="66" t="str">
        <f t="shared" si="0"/>
        <v>Добавить группу потребителей</v>
      </c>
      <c r="BJ10" s="66"/>
      <c r="BK10" s="66"/>
      <c r="BL10" s="10">
        <v>0</v>
      </c>
    </row>
    <row r="11" spans="1:64" ht="21" hidden="1" customHeight="1">
      <c r="A11" s="766"/>
      <c r="B11" s="766"/>
      <c r="C11" s="766"/>
      <c r="D11" s="766"/>
      <c r="E11" s="1284"/>
      <c r="F11" s="1284"/>
      <c r="G11" s="1284"/>
      <c r="H11" s="1283"/>
      <c r="I11" s="766"/>
      <c r="J11" s="766"/>
      <c r="K11" s="766"/>
      <c r="L11" s="767"/>
      <c r="M11" s="423"/>
      <c r="N11" s="423"/>
      <c r="O11" s="60"/>
      <c r="P11" s="33"/>
      <c r="Q11" s="213"/>
      <c r="R11" s="204"/>
      <c r="S11" s="739"/>
      <c r="T11" s="104" t="s">
        <v>485</v>
      </c>
      <c r="U11" s="210"/>
      <c r="V11" s="210"/>
      <c r="W11" s="210"/>
      <c r="X11" s="210"/>
      <c r="Y11" s="210"/>
      <c r="Z11" s="210"/>
      <c r="AA11" s="210"/>
      <c r="AB11" s="209"/>
      <c r="AC11" s="210"/>
      <c r="AD11" s="210"/>
      <c r="AE11" s="210"/>
      <c r="AF11" s="210"/>
      <c r="AG11" s="210"/>
      <c r="AH11" s="210"/>
      <c r="AI11" s="209"/>
      <c r="AJ11" s="210"/>
      <c r="AK11" s="210"/>
      <c r="AL11" s="210"/>
      <c r="AM11" s="210"/>
      <c r="AN11" s="210"/>
      <c r="AO11" s="210"/>
      <c r="AP11" s="209"/>
      <c r="AQ11" s="210"/>
      <c r="AR11" s="210"/>
      <c r="AS11" s="210"/>
      <c r="AT11" s="210"/>
      <c r="AU11" s="210"/>
      <c r="AV11" s="210"/>
      <c r="AW11" s="209"/>
      <c r="AX11" s="210"/>
      <c r="AY11" s="210"/>
      <c r="AZ11" s="210"/>
      <c r="BA11" s="210"/>
      <c r="BB11" s="210"/>
      <c r="BC11" s="210"/>
      <c r="BD11" s="209"/>
      <c r="BE11" s="210"/>
      <c r="BF11" s="171"/>
      <c r="BH11" s="66"/>
      <c r="BI11" s="66" t="str">
        <f t="shared" si="0"/>
        <v>Добавить наименование признака дифференциации</v>
      </c>
      <c r="BJ11" s="66"/>
      <c r="BK11" s="66"/>
      <c r="BL11" s="10">
        <v>0</v>
      </c>
    </row>
    <row r="12" spans="1:64" s="65" customFormat="1" ht="14.25" hidden="1" customHeight="1">
      <c r="A12" s="142"/>
      <c r="B12" s="142"/>
      <c r="C12" s="142"/>
      <c r="D12" s="142"/>
      <c r="E12" s="1284"/>
      <c r="F12" s="1283"/>
      <c r="G12" s="142"/>
      <c r="H12" s="142"/>
      <c r="I12" s="142"/>
      <c r="J12" s="142"/>
      <c r="K12" s="142"/>
      <c r="L12" s="343"/>
      <c r="M12" s="756"/>
      <c r="N12" s="756"/>
      <c r="P12" s="101"/>
      <c r="Q12" s="752"/>
      <c r="R12" s="101"/>
      <c r="S12" s="757"/>
      <c r="T12" s="759" t="s">
        <v>231</v>
      </c>
      <c r="U12" s="310"/>
      <c r="V12" s="310"/>
      <c r="W12" s="310"/>
      <c r="X12" s="310"/>
      <c r="Y12" s="310"/>
      <c r="Z12" s="310"/>
      <c r="AA12" s="310"/>
      <c r="AB12" s="310"/>
      <c r="AC12" s="310"/>
      <c r="AD12" s="310"/>
      <c r="AE12" s="310"/>
      <c r="AF12" s="310"/>
      <c r="AG12" s="310"/>
      <c r="AH12" s="310"/>
      <c r="AI12" s="310"/>
      <c r="AJ12" s="310"/>
      <c r="AK12" s="310"/>
      <c r="AL12" s="310"/>
      <c r="AM12" s="310"/>
      <c r="AN12" s="310"/>
      <c r="AO12" s="310"/>
      <c r="AP12" s="310"/>
      <c r="AQ12" s="310"/>
      <c r="AR12" s="310"/>
      <c r="AS12" s="310"/>
      <c r="AT12" s="310"/>
      <c r="AU12" s="310"/>
      <c r="AV12" s="310"/>
      <c r="AW12" s="310"/>
      <c r="AX12" s="310"/>
      <c r="AY12" s="310"/>
      <c r="AZ12" s="310"/>
      <c r="BA12" s="310"/>
      <c r="BB12" s="310"/>
      <c r="BC12" s="310"/>
      <c r="BD12" s="310"/>
      <c r="BE12" s="310"/>
      <c r="BF12" s="310"/>
      <c r="BH12" s="66"/>
      <c r="BI12" s="66" t="str">
        <f t="shared" si="0"/>
        <v>Добавить централизованную систему для дифференциации</v>
      </c>
      <c r="BJ12" s="66"/>
      <c r="BK12" s="66"/>
      <c r="BL12" s="65">
        <v>0</v>
      </c>
    </row>
    <row r="13" spans="1:64" s="65" customFormat="1" ht="14.25" hidden="1" customHeight="1">
      <c r="A13" s="142"/>
      <c r="B13" s="142"/>
      <c r="C13" s="142"/>
      <c r="D13" s="142"/>
      <c r="E13" s="1283"/>
      <c r="F13" s="142"/>
      <c r="G13" s="142"/>
      <c r="H13" s="142"/>
      <c r="I13" s="142"/>
      <c r="J13" s="142"/>
      <c r="K13" s="142"/>
      <c r="L13" s="343"/>
      <c r="M13" s="756"/>
      <c r="N13" s="756"/>
      <c r="P13" s="101"/>
      <c r="Q13" s="752"/>
      <c r="R13" s="101"/>
      <c r="S13" s="757"/>
      <c r="T13" s="759" t="s">
        <v>232</v>
      </c>
      <c r="U13" s="310"/>
      <c r="V13" s="310"/>
      <c r="W13" s="310"/>
      <c r="X13" s="310"/>
      <c r="Y13" s="310"/>
      <c r="Z13" s="310"/>
      <c r="AA13" s="310"/>
      <c r="AB13" s="310"/>
      <c r="AC13" s="310"/>
      <c r="AD13" s="310"/>
      <c r="AE13" s="310"/>
      <c r="AF13" s="310"/>
      <c r="AG13" s="310"/>
      <c r="AH13" s="310"/>
      <c r="AI13" s="310"/>
      <c r="AJ13" s="310"/>
      <c r="AK13" s="310"/>
      <c r="AL13" s="310"/>
      <c r="AM13" s="310"/>
      <c r="AN13" s="310"/>
      <c r="AO13" s="310"/>
      <c r="AP13" s="310"/>
      <c r="AQ13" s="310"/>
      <c r="AR13" s="310"/>
      <c r="AS13" s="310"/>
      <c r="AT13" s="310"/>
      <c r="AU13" s="310"/>
      <c r="AV13" s="310"/>
      <c r="AW13" s="310"/>
      <c r="AX13" s="310"/>
      <c r="AY13" s="310"/>
      <c r="AZ13" s="310"/>
      <c r="BA13" s="310"/>
      <c r="BB13" s="310"/>
      <c r="BC13" s="310"/>
      <c r="BD13" s="310"/>
      <c r="BE13" s="310"/>
      <c r="BF13" s="310"/>
      <c r="BH13" s="66"/>
      <c r="BI13" s="66" t="str">
        <f t="shared" si="0"/>
        <v>Добавить территорию для дифференциации</v>
      </c>
      <c r="BJ13" s="66"/>
      <c r="BK13" s="66"/>
      <c r="BL13" s="65">
        <v>0</v>
      </c>
    </row>
    <row r="14" spans="1:64" ht="14.25" hidden="1" customHeight="1">
      <c r="AJ14" s="10"/>
      <c r="AK14" s="10"/>
      <c r="AL14" s="10"/>
      <c r="AM14" s="10"/>
      <c r="AN14" s="10"/>
      <c r="AO14" s="10"/>
      <c r="AP14" s="10"/>
      <c r="AQ14" s="10"/>
      <c r="AR14" s="10"/>
      <c r="AS14" s="10"/>
      <c r="AT14" s="10"/>
      <c r="AU14" s="10"/>
      <c r="AV14" s="10"/>
      <c r="AW14" s="10"/>
      <c r="AX14" s="10"/>
      <c r="AY14" s="10"/>
      <c r="AZ14" s="10"/>
      <c r="BA14" s="10"/>
      <c r="BB14" s="10"/>
      <c r="BC14" s="10"/>
      <c r="BD14" s="10"/>
      <c r="BL14" s="10">
        <v>0</v>
      </c>
    </row>
    <row r="15" spans="1:64" ht="14.25" hidden="1" customHeight="1">
      <c r="AC15" s="365"/>
      <c r="AD15" s="365"/>
      <c r="AE15" s="765"/>
      <c r="AF15" s="1281"/>
      <c r="AG15" s="1280" t="s">
        <v>64</v>
      </c>
      <c r="AH15" s="1281"/>
      <c r="AI15" s="1280" t="s">
        <v>64</v>
      </c>
      <c r="AJ15" s="10"/>
      <c r="AK15" s="10"/>
      <c r="AL15" s="10"/>
      <c r="AM15" s="10"/>
      <c r="AN15" s="10"/>
      <c r="AO15" s="10"/>
      <c r="AP15" s="10"/>
      <c r="AQ15" s="10"/>
      <c r="AR15" s="10"/>
      <c r="AS15" s="10"/>
      <c r="AT15" s="10"/>
      <c r="AU15" s="10"/>
      <c r="AV15" s="10"/>
      <c r="AW15" s="10"/>
      <c r="AX15" s="10"/>
      <c r="AY15" s="10"/>
      <c r="AZ15" s="10"/>
      <c r="BA15" s="10"/>
      <c r="BB15" s="10"/>
      <c r="BC15" s="10"/>
      <c r="BD15" s="10"/>
      <c r="BL15" s="10">
        <v>0</v>
      </c>
    </row>
    <row r="16" spans="1:64" ht="14.25" hidden="1" customHeight="1">
      <c r="AC16" s="365"/>
      <c r="AD16" s="365"/>
      <c r="AE16" s="189" t="str">
        <f>AF15&amp;"-"&amp;AH15</f>
        <v>-</v>
      </c>
      <c r="AF16" s="1280"/>
      <c r="AG16" s="1280"/>
      <c r="AH16" s="1280"/>
      <c r="AI16" s="1280"/>
      <c r="AJ16" s="10"/>
      <c r="AK16" s="10"/>
      <c r="AL16" s="10"/>
      <c r="AM16" s="10"/>
      <c r="AN16" s="10"/>
      <c r="AO16" s="10"/>
      <c r="AP16" s="10"/>
      <c r="AQ16" s="10"/>
      <c r="AR16" s="10"/>
      <c r="AS16" s="10"/>
      <c r="AT16" s="10"/>
      <c r="AU16" s="10"/>
      <c r="AV16" s="10"/>
      <c r="AW16" s="10"/>
      <c r="AX16" s="10"/>
      <c r="AY16" s="10"/>
      <c r="AZ16" s="10"/>
      <c r="BA16" s="10"/>
      <c r="BB16" s="10"/>
      <c r="BC16" s="10"/>
      <c r="BD16" s="10"/>
      <c r="BL16" s="10">
        <v>0</v>
      </c>
    </row>
    <row r="17" spans="1:64" ht="14.25" hidden="1" customHeight="1">
      <c r="AJ17" s="10"/>
      <c r="AK17" s="10"/>
      <c r="AL17" s="10"/>
      <c r="AM17" s="10"/>
      <c r="AN17" s="10"/>
      <c r="AO17" s="10"/>
      <c r="AP17" s="10"/>
      <c r="AQ17" s="10"/>
      <c r="AR17" s="10"/>
      <c r="AS17" s="10"/>
      <c r="AT17" s="10"/>
      <c r="AU17" s="10"/>
      <c r="AV17" s="10"/>
      <c r="AW17" s="10"/>
      <c r="AX17" s="10"/>
      <c r="AY17" s="10"/>
      <c r="AZ17" s="10"/>
      <c r="BA17" s="10"/>
      <c r="BB17" s="10"/>
      <c r="BC17" s="10"/>
      <c r="BD17" s="10"/>
      <c r="BL17" s="10">
        <v>0</v>
      </c>
    </row>
    <row r="18" spans="1:64" s="60" customFormat="1" ht="22.5" hidden="1" customHeight="1">
      <c r="L18" s="298"/>
      <c r="M18" s="503"/>
      <c r="N18" s="503"/>
      <c r="O18" s="768" t="s">
        <v>415</v>
      </c>
      <c r="P18" s="503"/>
      <c r="Q18" s="769"/>
      <c r="R18" s="769"/>
      <c r="S18" s="423"/>
      <c r="Y18" s="768"/>
      <c r="AA18" s="768"/>
      <c r="AF18" s="768"/>
      <c r="AH18" s="768"/>
      <c r="AM18" s="768"/>
      <c r="AO18" s="768"/>
      <c r="AT18" s="768"/>
      <c r="AV18" s="768"/>
      <c r="BA18" s="768"/>
      <c r="BC18" s="768"/>
      <c r="BG18" s="65"/>
      <c r="BH18" s="65"/>
      <c r="BI18" s="65"/>
      <c r="BJ18" s="65"/>
      <c r="BK18" s="65"/>
      <c r="BL18" s="60">
        <v>0</v>
      </c>
    </row>
    <row r="19" spans="1:64" s="60" customFormat="1" ht="14.25" hidden="1" customHeight="1">
      <c r="L19" s="298"/>
      <c r="M19" s="503"/>
      <c r="N19" s="503"/>
      <c r="O19" s="503"/>
      <c r="P19" s="503"/>
      <c r="Q19" s="769"/>
      <c r="R19" s="769"/>
      <c r="S19" s="423"/>
      <c r="BG19" s="65"/>
      <c r="BH19" s="65"/>
      <c r="BI19" s="65"/>
      <c r="BJ19" s="65"/>
      <c r="BK19" s="65"/>
      <c r="BL19" s="60">
        <v>0</v>
      </c>
    </row>
    <row r="20" spans="1:64" s="60" customFormat="1" ht="12" hidden="1" customHeight="1">
      <c r="L20" s="298"/>
      <c r="M20" s="503"/>
      <c r="N20" s="503"/>
      <c r="O20" s="767" t="s">
        <v>416</v>
      </c>
      <c r="P20" s="503"/>
      <c r="Q20" s="813"/>
      <c r="R20" s="813"/>
      <c r="S20" s="423"/>
      <c r="T20" s="60" t="s">
        <v>417</v>
      </c>
      <c r="Z20" s="79" t="s">
        <v>418</v>
      </c>
      <c r="AB20" s="79" t="s">
        <v>419</v>
      </c>
      <c r="AC20" s="60" t="s">
        <v>417</v>
      </c>
      <c r="AG20" s="79" t="s">
        <v>420</v>
      </c>
      <c r="AI20" s="79" t="s">
        <v>419</v>
      </c>
      <c r="AN20" s="79" t="s">
        <v>418</v>
      </c>
      <c r="AP20" s="79" t="s">
        <v>419</v>
      </c>
      <c r="AU20" s="79" t="s">
        <v>418</v>
      </c>
      <c r="AW20" s="79" t="s">
        <v>419</v>
      </c>
      <c r="BB20" s="79" t="s">
        <v>418</v>
      </c>
      <c r="BD20" s="79" t="s">
        <v>419</v>
      </c>
      <c r="BL20" s="60">
        <v>0</v>
      </c>
    </row>
    <row r="21" spans="1:64" ht="14.25" hidden="1" customHeight="1">
      <c r="O21" s="767"/>
      <c r="AJ21" s="10"/>
      <c r="AK21" s="10"/>
      <c r="AL21" s="10"/>
      <c r="AM21" s="10"/>
      <c r="AN21" s="10"/>
      <c r="AO21" s="10"/>
      <c r="AP21" s="10"/>
      <c r="AQ21" s="10"/>
      <c r="AR21" s="10"/>
      <c r="AS21" s="10"/>
      <c r="AT21" s="10"/>
      <c r="AU21" s="10"/>
      <c r="AV21" s="10"/>
      <c r="AW21" s="10"/>
      <c r="AX21" s="10"/>
      <c r="AY21" s="10"/>
      <c r="AZ21" s="10"/>
      <c r="BA21" s="10"/>
      <c r="BB21" s="10"/>
      <c r="BC21" s="10"/>
      <c r="BD21" s="10"/>
      <c r="BL21" s="10">
        <v>0</v>
      </c>
    </row>
    <row r="22" spans="1:64" ht="14.25" hidden="1" customHeight="1">
      <c r="O22" s="767"/>
      <c r="AJ22" s="10"/>
      <c r="AK22" s="10"/>
      <c r="AL22" s="10"/>
      <c r="AM22" s="10"/>
      <c r="AN22" s="10"/>
      <c r="AO22" s="10"/>
      <c r="AP22" s="10"/>
      <c r="AQ22" s="10"/>
      <c r="AR22" s="10"/>
      <c r="AS22" s="10"/>
      <c r="AT22" s="10"/>
      <c r="AU22" s="10"/>
      <c r="AV22" s="10"/>
      <c r="AW22" s="10"/>
      <c r="AX22" s="10"/>
      <c r="AY22" s="10"/>
      <c r="AZ22" s="10"/>
      <c r="BA22" s="10"/>
      <c r="BB22" s="10"/>
      <c r="BC22" s="10"/>
      <c r="BD22" s="10"/>
      <c r="BL22" s="10">
        <v>0</v>
      </c>
    </row>
    <row r="23" spans="1:64" ht="14.65" customHeight="1">
      <c r="Q23" s="27"/>
      <c r="R23" s="27"/>
      <c r="S23" s="736"/>
      <c r="T23" s="9"/>
      <c r="U23" s="9"/>
      <c r="AJ23" s="10"/>
      <c r="AK23" s="10"/>
      <c r="AL23" s="10"/>
      <c r="AM23" s="10"/>
      <c r="AN23" s="10"/>
      <c r="AO23" s="10"/>
      <c r="AP23" s="10"/>
      <c r="AQ23" s="10"/>
      <c r="AR23" s="10"/>
      <c r="AS23" s="10"/>
      <c r="AT23" s="10"/>
      <c r="AU23" s="10"/>
      <c r="AV23" s="10"/>
      <c r="AW23" s="10"/>
      <c r="AX23" s="10"/>
      <c r="AY23" s="10"/>
      <c r="AZ23" s="10"/>
      <c r="BA23" s="10"/>
      <c r="BB23" s="10"/>
      <c r="BC23" s="10"/>
      <c r="BD23" s="10"/>
      <c r="BL23" s="10">
        <v>14</v>
      </c>
    </row>
    <row r="24" spans="1:64" ht="14.65" customHeight="1">
      <c r="Q24" s="27"/>
      <c r="R24" s="27"/>
      <c r="S24" s="12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4"/>
      <c r="U24" s="1264"/>
      <c r="V24" s="1264"/>
      <c r="W24" s="1264"/>
      <c r="X24" s="1264"/>
      <c r="Y24" s="1264"/>
      <c r="Z24" s="1264"/>
      <c r="AA24" s="1264"/>
      <c r="AB24" s="1264"/>
      <c r="AC24" s="1264"/>
      <c r="AD24" s="1264"/>
      <c r="AE24" s="1264"/>
      <c r="AF24" s="1264"/>
      <c r="AG24" s="1264"/>
      <c r="AH24" s="1264"/>
      <c r="AI24" s="57"/>
      <c r="AJ24" s="1095"/>
      <c r="AK24" s="1095"/>
      <c r="AL24" s="1095"/>
      <c r="AM24" s="1095"/>
      <c r="AN24" s="1095"/>
      <c r="AO24" s="1095"/>
      <c r="AP24" s="1095"/>
      <c r="AQ24" s="1095"/>
      <c r="AR24" s="1095"/>
      <c r="AS24" s="1095"/>
      <c r="AT24" s="1095"/>
      <c r="AU24" s="1095"/>
      <c r="AV24" s="1095"/>
      <c r="AW24" s="1095"/>
      <c r="AX24" s="1095"/>
      <c r="AY24" s="1095"/>
      <c r="AZ24" s="1095"/>
      <c r="BA24" s="1095"/>
      <c r="BB24" s="1095"/>
      <c r="BC24" s="1095"/>
      <c r="BD24" s="1095"/>
      <c r="BL24" s="10">
        <v>14</v>
      </c>
    </row>
    <row r="25" spans="1:64" ht="14.65" customHeight="1">
      <c r="Q25" s="27"/>
      <c r="R25" s="27"/>
      <c r="S25" s="1236" t="str">
        <f>IF(org=0,"Не определено",org)</f>
        <v>Общество с ограниченной ответственностью "Березовский рудник"</v>
      </c>
      <c r="T25" s="1236"/>
      <c r="U25" s="1236"/>
      <c r="V25" s="1236"/>
      <c r="W25" s="1236"/>
      <c r="X25" s="1236"/>
      <c r="Y25" s="1236"/>
      <c r="Z25" s="1236"/>
      <c r="AA25" s="1236"/>
      <c r="AB25" s="1236"/>
      <c r="AC25" s="1236"/>
      <c r="AD25" s="1236"/>
      <c r="AE25" s="1236"/>
      <c r="AF25" s="1236"/>
      <c r="AG25" s="1236"/>
      <c r="AH25" s="1236"/>
      <c r="AI25" s="57"/>
      <c r="AJ25" s="1096"/>
      <c r="AK25" s="1096"/>
      <c r="AL25" s="1096"/>
      <c r="AM25" s="1096"/>
      <c r="AN25" s="1096"/>
      <c r="AO25" s="1096"/>
      <c r="AP25" s="1096"/>
      <c r="AQ25" s="1096"/>
      <c r="AR25" s="1096"/>
      <c r="AS25" s="1096"/>
      <c r="AT25" s="1096"/>
      <c r="AU25" s="1096"/>
      <c r="AV25" s="1096"/>
      <c r="AW25" s="1096"/>
      <c r="AX25" s="1096"/>
      <c r="AY25" s="1096"/>
      <c r="AZ25" s="1096"/>
      <c r="BA25" s="1096"/>
      <c r="BB25" s="1096"/>
      <c r="BC25" s="1096"/>
      <c r="BD25" s="1096"/>
      <c r="BL25" s="10">
        <v>14</v>
      </c>
    </row>
    <row r="26" spans="1:64" ht="14.25" hidden="1" customHeight="1">
      <c r="Q26" s="27"/>
      <c r="R26" s="27"/>
      <c r="S26" s="736"/>
      <c r="T26" s="9"/>
      <c r="U26" s="9"/>
      <c r="V26" s="186"/>
      <c r="W26" s="186"/>
      <c r="X26" s="186"/>
      <c r="Y26" s="186"/>
      <c r="Z26" s="186"/>
      <c r="AA26" s="186"/>
      <c r="AB26" s="186"/>
      <c r="AC26" s="186"/>
      <c r="AD26" s="186"/>
      <c r="AE26" s="186"/>
      <c r="AF26" s="186"/>
      <c r="AG26" s="186"/>
      <c r="AH26" s="186"/>
      <c r="AI26" s="186"/>
      <c r="AJ26" s="186"/>
      <c r="AK26" s="186"/>
      <c r="AL26" s="186"/>
      <c r="AM26" s="186"/>
      <c r="AN26" s="186"/>
      <c r="AO26" s="186"/>
      <c r="AP26" s="186"/>
      <c r="AQ26" s="186"/>
      <c r="AR26" s="186"/>
      <c r="AS26" s="186"/>
      <c r="AT26" s="186"/>
      <c r="AU26" s="186"/>
      <c r="AV26" s="186"/>
      <c r="AW26" s="186"/>
      <c r="AX26" s="186"/>
      <c r="AY26" s="186"/>
      <c r="AZ26" s="186"/>
      <c r="BA26" s="186"/>
      <c r="BB26" s="186"/>
      <c r="BC26" s="186"/>
      <c r="BD26" s="186"/>
      <c r="BL26" s="10">
        <v>0</v>
      </c>
    </row>
    <row r="27" spans="1:64" s="34" customFormat="1" ht="25.5" hidden="1" customHeight="1">
      <c r="A27" s="79"/>
      <c r="B27" s="79"/>
      <c r="C27" s="79"/>
      <c r="D27" s="79"/>
      <c r="E27" s="79"/>
      <c r="F27" s="79"/>
      <c r="G27" s="79"/>
      <c r="H27" s="79"/>
      <c r="I27" s="79"/>
      <c r="J27" s="79"/>
      <c r="K27" s="79"/>
      <c r="L27" s="767"/>
      <c r="M27" s="79"/>
      <c r="N27" s="79"/>
      <c r="O27" s="79"/>
      <c r="S27" s="1274" t="s">
        <v>41</v>
      </c>
      <c r="T27" s="1274"/>
      <c r="U27" s="770"/>
      <c r="V27" s="1276" t="str">
        <f>IF(TITLE_NAME_OR_PR_CHANGE="",IF(TITLE_NAME_OR_PR="","",TITLE_NAME_OR_PR),TITLE_NAME_OR_PR_CHANGE)</f>
        <v/>
      </c>
      <c r="W27" s="1276"/>
      <c r="X27" s="1276"/>
      <c r="Y27" s="1276"/>
      <c r="Z27" s="1276"/>
      <c r="AA27" s="1276"/>
      <c r="AB27" s="10"/>
      <c r="AC27" s="1276" t="str">
        <f>IF(TITLE_NAME_OR_PR_CHANGE="",IF(TITLE_NAME_OR_PR="","",TITLE_NAME_OR_PR),TITLE_NAME_OR_PR_CHANGE)</f>
        <v/>
      </c>
      <c r="AD27" s="1276"/>
      <c r="AE27" s="1276"/>
      <c r="AF27" s="1276"/>
      <c r="AG27" s="1276"/>
      <c r="AH27" s="1276"/>
      <c r="AI27" s="10"/>
      <c r="AJ27" s="1276" t="str">
        <f>IF(TITLE_NAME_OR_PR_CHANGE="",IF(TITLE_NAME_OR_PR="","",TITLE_NAME_OR_PR),TITLE_NAME_OR_PR_CHANGE)</f>
        <v/>
      </c>
      <c r="AK27" s="1276"/>
      <c r="AL27" s="1276"/>
      <c r="AM27" s="1276"/>
      <c r="AN27" s="1276"/>
      <c r="AO27" s="1276"/>
      <c r="AP27" s="10"/>
      <c r="AQ27" s="1276" t="str">
        <f>IF(TITLE_NAME_OR_PR_CHANGE="",IF(TITLE_NAME_OR_PR="","",TITLE_NAME_OR_PR),TITLE_NAME_OR_PR_CHANGE)</f>
        <v/>
      </c>
      <c r="AR27" s="1276"/>
      <c r="AS27" s="1276"/>
      <c r="AT27" s="1276"/>
      <c r="AU27" s="1276"/>
      <c r="AV27" s="1276"/>
      <c r="AW27" s="10"/>
      <c r="AX27" s="1276" t="str">
        <f>IF(TITLE_NAME_OR_PR_CHANGE="",IF(TITLE_NAME_OR_PR="","",TITLE_NAME_OR_PR),TITLE_NAME_OR_PR_CHANGE)</f>
        <v/>
      </c>
      <c r="AY27" s="1276"/>
      <c r="AZ27" s="1276"/>
      <c r="BA27" s="1276"/>
      <c r="BB27" s="1276"/>
      <c r="BC27" s="1276"/>
      <c r="BD27" s="10"/>
      <c r="BE27" s="10"/>
      <c r="BF27" s="160"/>
      <c r="BG27" s="66"/>
      <c r="BH27" s="66"/>
      <c r="BI27" s="66"/>
      <c r="BJ27" s="66"/>
      <c r="BK27" s="66"/>
      <c r="BL27" s="34">
        <v>0</v>
      </c>
    </row>
    <row r="28" spans="1:64" s="34" customFormat="1" ht="18.75" hidden="1" customHeight="1">
      <c r="A28" s="79"/>
      <c r="B28" s="79"/>
      <c r="C28" s="79"/>
      <c r="D28" s="79"/>
      <c r="E28" s="79"/>
      <c r="F28" s="79"/>
      <c r="G28" s="79"/>
      <c r="H28" s="79"/>
      <c r="I28" s="79"/>
      <c r="J28" s="79"/>
      <c r="K28" s="79"/>
      <c r="L28" s="767"/>
      <c r="M28" s="79"/>
      <c r="N28" s="79"/>
      <c r="O28" s="79"/>
      <c r="S28" s="1274" t="s">
        <v>421</v>
      </c>
      <c r="T28" s="1274"/>
      <c r="U28" s="770"/>
      <c r="V28" s="1275">
        <f>IF(TITLE_DATE_PR_CHANGE="",IF(TITLE_DATE_PR="","",TITLE_DATE_PR),TITLE_DATE_PR_CHANGE)</f>
        <v>45805</v>
      </c>
      <c r="W28" s="1275"/>
      <c r="X28" s="1275"/>
      <c r="Y28" s="1275"/>
      <c r="Z28" s="1275"/>
      <c r="AA28" s="1275"/>
      <c r="AB28" s="10"/>
      <c r="AC28" s="1275">
        <f>IF(TITLE_DATE_PR_CHANGE="",IF(TITLE_DATE_PR="","",TITLE_DATE_PR),TITLE_DATE_PR_CHANGE)</f>
        <v>45805</v>
      </c>
      <c r="AD28" s="1275"/>
      <c r="AE28" s="1275"/>
      <c r="AF28" s="1275"/>
      <c r="AG28" s="1275"/>
      <c r="AH28" s="1275"/>
      <c r="AI28" s="10"/>
      <c r="AJ28" s="1275">
        <f>IF(TITLE_DATE_PR_CHANGE="",IF(TITLE_DATE_PR="","",TITLE_DATE_PR),TITLE_DATE_PR_CHANGE)</f>
        <v>45805</v>
      </c>
      <c r="AK28" s="1275"/>
      <c r="AL28" s="1275"/>
      <c r="AM28" s="1275"/>
      <c r="AN28" s="1275"/>
      <c r="AO28" s="1275"/>
      <c r="AP28" s="10"/>
      <c r="AQ28" s="1275">
        <f>IF(TITLE_DATE_PR_CHANGE="",IF(TITLE_DATE_PR="","",TITLE_DATE_PR),TITLE_DATE_PR_CHANGE)</f>
        <v>45805</v>
      </c>
      <c r="AR28" s="1275"/>
      <c r="AS28" s="1275"/>
      <c r="AT28" s="1275"/>
      <c r="AU28" s="1275"/>
      <c r="AV28" s="1275"/>
      <c r="AW28" s="10"/>
      <c r="AX28" s="1275">
        <f>IF(TITLE_DATE_PR_CHANGE="",IF(TITLE_DATE_PR="","",TITLE_DATE_PR),TITLE_DATE_PR_CHANGE)</f>
        <v>45805</v>
      </c>
      <c r="AY28" s="1275"/>
      <c r="AZ28" s="1275"/>
      <c r="BA28" s="1275"/>
      <c r="BB28" s="1275"/>
      <c r="BC28" s="1275"/>
      <c r="BD28" s="10"/>
      <c r="BE28" s="10"/>
      <c r="BF28" s="160"/>
      <c r="BG28" s="66"/>
      <c r="BH28" s="66"/>
      <c r="BI28" s="66"/>
      <c r="BJ28" s="66"/>
      <c r="BK28" s="66"/>
      <c r="BL28" s="34">
        <v>0</v>
      </c>
    </row>
    <row r="29" spans="1:64" s="34" customFormat="1" ht="18.75" hidden="1" customHeight="1">
      <c r="A29" s="79"/>
      <c r="B29" s="79"/>
      <c r="C29" s="79"/>
      <c r="D29" s="79"/>
      <c r="E29" s="79"/>
      <c r="F29" s="79"/>
      <c r="G29" s="79"/>
      <c r="H29" s="79"/>
      <c r="I29" s="79"/>
      <c r="J29" s="79"/>
      <c r="K29" s="79"/>
      <c r="L29" s="767"/>
      <c r="M29" s="79"/>
      <c r="N29" s="79"/>
      <c r="O29" s="79"/>
      <c r="S29" s="1274" t="s">
        <v>422</v>
      </c>
      <c r="T29" s="1274"/>
      <c r="U29" s="770"/>
      <c r="V29" s="1276" t="str">
        <f>IF(TITLE_NUMBER_PR_CHANGE="",IF(TITLE_NUMBER_PR="","",TITLE_NUMBER_PR),TITLE_NUMBER_PR_CHANGE)</f>
        <v>2496</v>
      </c>
      <c r="W29" s="1276"/>
      <c r="X29" s="1276"/>
      <c r="Y29" s="1276"/>
      <c r="Z29" s="1276"/>
      <c r="AA29" s="1276"/>
      <c r="AB29" s="10"/>
      <c r="AC29" s="1276" t="str">
        <f>IF(TITLE_NUMBER_PR_CHANGE="",IF(TITLE_NUMBER_PR="","",TITLE_NUMBER_PR),TITLE_NUMBER_PR_CHANGE)</f>
        <v>2496</v>
      </c>
      <c r="AD29" s="1276"/>
      <c r="AE29" s="1276"/>
      <c r="AF29" s="1276"/>
      <c r="AG29" s="1276"/>
      <c r="AH29" s="1276"/>
      <c r="AI29" s="10"/>
      <c r="AJ29" s="1276" t="str">
        <f>IF(TITLE_NUMBER_PR_CHANGE="",IF(TITLE_NUMBER_PR="","",TITLE_NUMBER_PR),TITLE_NUMBER_PR_CHANGE)</f>
        <v>2496</v>
      </c>
      <c r="AK29" s="1276"/>
      <c r="AL29" s="1276"/>
      <c r="AM29" s="1276"/>
      <c r="AN29" s="1276"/>
      <c r="AO29" s="1276"/>
      <c r="AP29" s="10"/>
      <c r="AQ29" s="1276" t="str">
        <f>IF(TITLE_NUMBER_PR_CHANGE="",IF(TITLE_NUMBER_PR="","",TITLE_NUMBER_PR),TITLE_NUMBER_PR_CHANGE)</f>
        <v>2496</v>
      </c>
      <c r="AR29" s="1276"/>
      <c r="AS29" s="1276"/>
      <c r="AT29" s="1276"/>
      <c r="AU29" s="1276"/>
      <c r="AV29" s="1276"/>
      <c r="AW29" s="10"/>
      <c r="AX29" s="1276" t="str">
        <f>IF(TITLE_NUMBER_PR_CHANGE="",IF(TITLE_NUMBER_PR="","",TITLE_NUMBER_PR),TITLE_NUMBER_PR_CHANGE)</f>
        <v>2496</v>
      </c>
      <c r="AY29" s="1276"/>
      <c r="AZ29" s="1276"/>
      <c r="BA29" s="1276"/>
      <c r="BB29" s="1276"/>
      <c r="BC29" s="1276"/>
      <c r="BD29" s="10"/>
      <c r="BE29" s="10"/>
      <c r="BF29" s="160"/>
      <c r="BG29" s="66"/>
      <c r="BH29" s="66"/>
      <c r="BI29" s="66"/>
      <c r="BJ29" s="66"/>
      <c r="BK29" s="66"/>
      <c r="BL29" s="34">
        <v>0</v>
      </c>
    </row>
    <row r="30" spans="1:64" s="34" customFormat="1" ht="18.75" hidden="1" customHeight="1">
      <c r="A30" s="79"/>
      <c r="B30" s="79"/>
      <c r="C30" s="79"/>
      <c r="D30" s="79"/>
      <c r="E30" s="79"/>
      <c r="F30" s="79"/>
      <c r="G30" s="79"/>
      <c r="H30" s="79"/>
      <c r="I30" s="79"/>
      <c r="J30" s="79"/>
      <c r="K30" s="79"/>
      <c r="L30" s="767"/>
      <c r="M30" s="79"/>
      <c r="N30" s="79"/>
      <c r="O30" s="79"/>
      <c r="S30" s="1274" t="s">
        <v>42</v>
      </c>
      <c r="T30" s="1274"/>
      <c r="U30" s="770"/>
      <c r="V30" s="1276" t="str">
        <f>IF(TITLE_IST_PUB_CHANGE="",IF(TITLE_IST_PUB="","",TITLE_IST_PUB),TITLE_IST_PUB_CHANGE)</f>
        <v/>
      </c>
      <c r="W30" s="1276"/>
      <c r="X30" s="1276"/>
      <c r="Y30" s="1276"/>
      <c r="Z30" s="1276"/>
      <c r="AA30" s="1276"/>
      <c r="AB30" s="10"/>
      <c r="AC30" s="1276" t="str">
        <f>IF(TITLE_IST_PUB_CHANGE="",IF(TITLE_IST_PUB="","",TITLE_IST_PUB),TITLE_IST_PUB_CHANGE)</f>
        <v/>
      </c>
      <c r="AD30" s="1276"/>
      <c r="AE30" s="1276"/>
      <c r="AF30" s="1276"/>
      <c r="AG30" s="1276"/>
      <c r="AH30" s="1276"/>
      <c r="AI30" s="10"/>
      <c r="AJ30" s="1276" t="str">
        <f>IF(TITLE_IST_PUB_CHANGE="",IF(TITLE_IST_PUB="","",TITLE_IST_PUB),TITLE_IST_PUB_CHANGE)</f>
        <v/>
      </c>
      <c r="AK30" s="1276"/>
      <c r="AL30" s="1276"/>
      <c r="AM30" s="1276"/>
      <c r="AN30" s="1276"/>
      <c r="AO30" s="1276"/>
      <c r="AP30" s="10"/>
      <c r="AQ30" s="1276" t="str">
        <f>IF(TITLE_IST_PUB_CHANGE="",IF(TITLE_IST_PUB="","",TITLE_IST_PUB),TITLE_IST_PUB_CHANGE)</f>
        <v/>
      </c>
      <c r="AR30" s="1276"/>
      <c r="AS30" s="1276"/>
      <c r="AT30" s="1276"/>
      <c r="AU30" s="1276"/>
      <c r="AV30" s="1276"/>
      <c r="AW30" s="10"/>
      <c r="AX30" s="1276" t="str">
        <f>IF(TITLE_IST_PUB_CHANGE="",IF(TITLE_IST_PUB="","",TITLE_IST_PUB),TITLE_IST_PUB_CHANGE)</f>
        <v/>
      </c>
      <c r="AY30" s="1276"/>
      <c r="AZ30" s="1276"/>
      <c r="BA30" s="1276"/>
      <c r="BB30" s="1276"/>
      <c r="BC30" s="1276"/>
      <c r="BD30" s="10"/>
      <c r="BE30" s="10"/>
      <c r="BF30" s="160"/>
      <c r="BG30" s="66"/>
      <c r="BH30" s="66"/>
      <c r="BI30" s="66"/>
      <c r="BJ30" s="66"/>
      <c r="BK30" s="66"/>
      <c r="BL30" s="34">
        <v>0</v>
      </c>
    </row>
    <row r="31" spans="1:64" ht="14.25" customHeight="1">
      <c r="Q31" s="27"/>
      <c r="R31" s="27"/>
      <c r="S31" s="736"/>
      <c r="T31" s="9"/>
      <c r="U31" s="9"/>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6"/>
      <c r="BD31" s="186"/>
      <c r="BL31" s="10">
        <v>0</v>
      </c>
    </row>
    <row r="32" spans="1:64" s="34" customFormat="1" ht="18.75" customHeight="1">
      <c r="A32" s="79"/>
      <c r="B32" s="79"/>
      <c r="C32" s="79"/>
      <c r="D32" s="79"/>
      <c r="E32" s="79"/>
      <c r="F32" s="79"/>
      <c r="G32" s="79"/>
      <c r="H32" s="79"/>
      <c r="I32" s="79"/>
      <c r="J32" s="79"/>
      <c r="K32" s="79"/>
      <c r="L32" s="767"/>
      <c r="M32" s="79"/>
      <c r="N32" s="79"/>
      <c r="O32" s="79"/>
      <c r="S32" s="1274" t="s">
        <v>423</v>
      </c>
      <c r="T32" s="1274"/>
      <c r="U32" s="770"/>
      <c r="V32" s="1275">
        <f>IF(TITLE_DATE_PR_CHANGE="",IF(TITLE_DATE_PR="","",TITLE_DATE_PR),TITLE_DATE_PR_CHANGE)</f>
        <v>45805</v>
      </c>
      <c r="W32" s="1275"/>
      <c r="X32" s="1275"/>
      <c r="Y32" s="1275"/>
      <c r="Z32" s="1275"/>
      <c r="AA32" s="1275"/>
      <c r="AB32" s="10"/>
      <c r="AC32" s="1275">
        <f>IF(TITLE_DATE_PR_CHANGE="",IF(TITLE_DATE_PR="","",TITLE_DATE_PR),TITLE_DATE_PR_CHANGE)</f>
        <v>45805</v>
      </c>
      <c r="AD32" s="1275"/>
      <c r="AE32" s="1275"/>
      <c r="AF32" s="1275"/>
      <c r="AG32" s="1275"/>
      <c r="AH32" s="1275"/>
      <c r="AI32" s="10"/>
      <c r="AJ32" s="1275">
        <f>IF(TITLE_DATE_PR_CHANGE="",IF(TITLE_DATE_PR="","",TITLE_DATE_PR),TITLE_DATE_PR_CHANGE)</f>
        <v>45805</v>
      </c>
      <c r="AK32" s="1275"/>
      <c r="AL32" s="1275"/>
      <c r="AM32" s="1275"/>
      <c r="AN32" s="1275"/>
      <c r="AO32" s="1275"/>
      <c r="AP32" s="10"/>
      <c r="AQ32" s="1275">
        <f>IF(TITLE_DATE_PR_CHANGE="",IF(TITLE_DATE_PR="","",TITLE_DATE_PR),TITLE_DATE_PR_CHANGE)</f>
        <v>45805</v>
      </c>
      <c r="AR32" s="1275"/>
      <c r="AS32" s="1275"/>
      <c r="AT32" s="1275"/>
      <c r="AU32" s="1275"/>
      <c r="AV32" s="1275"/>
      <c r="AW32" s="10"/>
      <c r="AX32" s="1275">
        <f>IF(TITLE_DATE_PR_CHANGE="",IF(TITLE_DATE_PR="","",TITLE_DATE_PR),TITLE_DATE_PR_CHANGE)</f>
        <v>45805</v>
      </c>
      <c r="AY32" s="1275"/>
      <c r="AZ32" s="1275"/>
      <c r="BA32" s="1275"/>
      <c r="BB32" s="1275"/>
      <c r="BC32" s="1275"/>
      <c r="BD32" s="10"/>
      <c r="BE32" s="10"/>
      <c r="BF32" s="160"/>
      <c r="BG32" s="66"/>
      <c r="BH32" s="66"/>
      <c r="BI32" s="66"/>
      <c r="BJ32" s="66"/>
      <c r="BK32" s="66"/>
      <c r="BL32" s="34">
        <v>0</v>
      </c>
    </row>
    <row r="33" spans="1:64" s="34" customFormat="1" ht="18.75" customHeight="1">
      <c r="A33" s="79"/>
      <c r="B33" s="79"/>
      <c r="C33" s="79"/>
      <c r="D33" s="79"/>
      <c r="E33" s="79"/>
      <c r="F33" s="79"/>
      <c r="G33" s="79"/>
      <c r="H33" s="79"/>
      <c r="I33" s="79"/>
      <c r="J33" s="79"/>
      <c r="K33" s="79"/>
      <c r="L33" s="767"/>
      <c r="M33" s="79"/>
      <c r="N33" s="79"/>
      <c r="O33" s="79"/>
      <c r="S33" s="1274" t="s">
        <v>424</v>
      </c>
      <c r="T33" s="1274"/>
      <c r="U33" s="770"/>
      <c r="V33" s="1276" t="str">
        <f>IF(TITLE_NUMBER_PR_CHANGE="",IF(TITLE_NUMBER_PR="","",TITLE_NUMBER_PR),TITLE_NUMBER_PR_CHANGE)</f>
        <v>2496</v>
      </c>
      <c r="W33" s="1276"/>
      <c r="X33" s="1276"/>
      <c r="Y33" s="1276"/>
      <c r="Z33" s="1276"/>
      <c r="AA33" s="1276"/>
      <c r="AB33" s="10"/>
      <c r="AC33" s="1276" t="str">
        <f>IF(TITLE_NUMBER_PR_CHANGE="",IF(TITLE_NUMBER_PR="","",TITLE_NUMBER_PR),TITLE_NUMBER_PR_CHANGE)</f>
        <v>2496</v>
      </c>
      <c r="AD33" s="1276"/>
      <c r="AE33" s="1276"/>
      <c r="AF33" s="1276"/>
      <c r="AG33" s="1276"/>
      <c r="AH33" s="1276"/>
      <c r="AI33" s="10"/>
      <c r="AJ33" s="1276" t="str">
        <f>IF(TITLE_NUMBER_PR_CHANGE="",IF(TITLE_NUMBER_PR="","",TITLE_NUMBER_PR),TITLE_NUMBER_PR_CHANGE)</f>
        <v>2496</v>
      </c>
      <c r="AK33" s="1276"/>
      <c r="AL33" s="1276"/>
      <c r="AM33" s="1276"/>
      <c r="AN33" s="1276"/>
      <c r="AO33" s="1276"/>
      <c r="AP33" s="10"/>
      <c r="AQ33" s="1276" t="str">
        <f>IF(TITLE_NUMBER_PR_CHANGE="",IF(TITLE_NUMBER_PR="","",TITLE_NUMBER_PR),TITLE_NUMBER_PR_CHANGE)</f>
        <v>2496</v>
      </c>
      <c r="AR33" s="1276"/>
      <c r="AS33" s="1276"/>
      <c r="AT33" s="1276"/>
      <c r="AU33" s="1276"/>
      <c r="AV33" s="1276"/>
      <c r="AW33" s="10"/>
      <c r="AX33" s="1276" t="str">
        <f>IF(TITLE_NUMBER_PR_CHANGE="",IF(TITLE_NUMBER_PR="","",TITLE_NUMBER_PR),TITLE_NUMBER_PR_CHANGE)</f>
        <v>2496</v>
      </c>
      <c r="AY33" s="1276"/>
      <c r="AZ33" s="1276"/>
      <c r="BA33" s="1276"/>
      <c r="BB33" s="1276"/>
      <c r="BC33" s="1276"/>
      <c r="BD33" s="10"/>
      <c r="BE33" s="10"/>
      <c r="BF33" s="160"/>
      <c r="BG33" s="66"/>
      <c r="BH33" s="66"/>
      <c r="BI33" s="66"/>
      <c r="BJ33" s="66"/>
      <c r="BK33" s="66"/>
      <c r="BL33" s="34">
        <v>0</v>
      </c>
    </row>
    <row r="34" spans="1:64" s="34" customFormat="1" ht="1.1499999999999999" customHeight="1">
      <c r="A34" s="79"/>
      <c r="B34" s="79"/>
      <c r="C34" s="79"/>
      <c r="D34" s="79"/>
      <c r="E34" s="79"/>
      <c r="F34" s="79"/>
      <c r="G34" s="79"/>
      <c r="H34" s="79"/>
      <c r="I34" s="79"/>
      <c r="J34" s="79"/>
      <c r="K34" s="79"/>
      <c r="L34" s="767"/>
      <c r="M34" s="79"/>
      <c r="N34" s="79"/>
      <c r="O34" s="79"/>
      <c r="S34" s="10"/>
      <c r="T34" s="10"/>
      <c r="U34" s="75"/>
      <c r="V34" s="10"/>
      <c r="W34" s="10"/>
      <c r="X34" s="10"/>
      <c r="Y34" s="10"/>
      <c r="Z34" s="10"/>
      <c r="AA34" s="10"/>
      <c r="AB34" s="65" t="s">
        <v>425</v>
      </c>
      <c r="AC34" s="10"/>
      <c r="AD34" s="10"/>
      <c r="AE34" s="10"/>
      <c r="AF34" s="10"/>
      <c r="AG34" s="10"/>
      <c r="AH34" s="10"/>
      <c r="AI34" s="65" t="s">
        <v>425</v>
      </c>
      <c r="AJ34" s="10"/>
      <c r="AK34" s="10"/>
      <c r="AL34" s="10"/>
      <c r="AM34" s="10"/>
      <c r="AN34" s="10"/>
      <c r="AO34" s="10"/>
      <c r="AP34" s="65" t="s">
        <v>425</v>
      </c>
      <c r="AQ34" s="10"/>
      <c r="AR34" s="10"/>
      <c r="AS34" s="10"/>
      <c r="AT34" s="10"/>
      <c r="AU34" s="10"/>
      <c r="AV34" s="10"/>
      <c r="AW34" s="65" t="s">
        <v>425</v>
      </c>
      <c r="AX34" s="10"/>
      <c r="AY34" s="10"/>
      <c r="AZ34" s="10"/>
      <c r="BA34" s="10"/>
      <c r="BB34" s="10"/>
      <c r="BC34" s="10"/>
      <c r="BD34" s="65" t="s">
        <v>425</v>
      </c>
      <c r="BG34" s="66"/>
      <c r="BH34" s="66"/>
      <c r="BI34" s="66"/>
      <c r="BJ34" s="66"/>
      <c r="BK34" s="66"/>
      <c r="BL34" s="34">
        <v>1</v>
      </c>
    </row>
    <row r="35" spans="1:64" ht="14.65" customHeight="1">
      <c r="Q35" s="27"/>
      <c r="R35" s="27"/>
      <c r="S35" s="736"/>
      <c r="T35" s="9"/>
      <c r="U35" s="717"/>
      <c r="V35" s="1295"/>
      <c r="W35" s="1295"/>
      <c r="X35" s="1295"/>
      <c r="Y35" s="1295"/>
      <c r="Z35" s="1295"/>
      <c r="AA35" s="1295"/>
      <c r="AB35" s="1295"/>
      <c r="AC35" s="1295"/>
      <c r="AD35" s="1295"/>
      <c r="AE35" s="1295"/>
      <c r="AF35" s="1295"/>
      <c r="AG35" s="1295"/>
      <c r="AH35" s="1295"/>
      <c r="AI35" s="1295"/>
      <c r="AJ35" s="1295" t="s">
        <v>493</v>
      </c>
      <c r="AK35" s="1295"/>
      <c r="AL35" s="1295"/>
      <c r="AM35" s="1295"/>
      <c r="AN35" s="1295"/>
      <c r="AO35" s="1295"/>
      <c r="AP35" s="1295"/>
      <c r="AQ35" s="1295" t="s">
        <v>493</v>
      </c>
      <c r="AR35" s="1295"/>
      <c r="AS35" s="1295"/>
      <c r="AT35" s="1295"/>
      <c r="AU35" s="1295"/>
      <c r="AV35" s="1295"/>
      <c r="AW35" s="1295"/>
      <c r="AX35" s="1295" t="s">
        <v>493</v>
      </c>
      <c r="AY35" s="1295"/>
      <c r="AZ35" s="1295"/>
      <c r="BA35" s="1295"/>
      <c r="BB35" s="1295"/>
      <c r="BC35" s="1295"/>
      <c r="BD35" s="1295"/>
      <c r="BL35" s="10">
        <v>14</v>
      </c>
    </row>
    <row r="36" spans="1:64" ht="14.65" customHeight="1">
      <c r="Q36" s="27"/>
      <c r="R36" s="27"/>
      <c r="S36" s="1146" t="s">
        <v>300</v>
      </c>
      <c r="T36" s="1146"/>
      <c r="U36" s="1146"/>
      <c r="V36" s="1146"/>
      <c r="W36" s="1146"/>
      <c r="X36" s="1146"/>
      <c r="Y36" s="1146"/>
      <c r="Z36" s="1146"/>
      <c r="AA36" s="1146"/>
      <c r="AB36" s="1146"/>
      <c r="AC36" s="1146"/>
      <c r="AD36" s="1146"/>
      <c r="AE36" s="1146"/>
      <c r="AF36" s="1146"/>
      <c r="AG36" s="1146"/>
      <c r="AH36" s="1146"/>
      <c r="AI36" s="1146"/>
      <c r="AJ36" s="1146" t="s">
        <v>300</v>
      </c>
      <c r="AK36" s="1146"/>
      <c r="AL36" s="1146"/>
      <c r="AM36" s="1146"/>
      <c r="AN36" s="1146"/>
      <c r="AO36" s="1146"/>
      <c r="AP36" s="1146"/>
      <c r="AQ36" s="1146" t="s">
        <v>300</v>
      </c>
      <c r="AR36" s="1146"/>
      <c r="AS36" s="1146"/>
      <c r="AT36" s="1146"/>
      <c r="AU36" s="1146"/>
      <c r="AV36" s="1146"/>
      <c r="AW36" s="1146"/>
      <c r="AX36" s="1146" t="s">
        <v>300</v>
      </c>
      <c r="AY36" s="1146"/>
      <c r="AZ36" s="1146"/>
      <c r="BA36" s="1146"/>
      <c r="BB36" s="1146"/>
      <c r="BC36" s="1146"/>
      <c r="BD36" s="1146"/>
      <c r="BE36" s="1146"/>
      <c r="BF36" s="1146"/>
    </row>
    <row r="37" spans="1:64" ht="14.65" customHeight="1">
      <c r="Q37" s="27"/>
      <c r="R37" s="27"/>
      <c r="S37" s="1296" t="s">
        <v>86</v>
      </c>
      <c r="T37" s="1244" t="s">
        <v>426</v>
      </c>
      <c r="U37" s="169"/>
      <c r="V37" s="1297" t="s">
        <v>427</v>
      </c>
      <c r="W37" s="1298"/>
      <c r="X37" s="1298"/>
      <c r="Y37" s="1298"/>
      <c r="Z37" s="1298"/>
      <c r="AA37" s="1299"/>
      <c r="AB37" s="1300" t="s">
        <v>428</v>
      </c>
      <c r="AC37" s="1297" t="s">
        <v>427</v>
      </c>
      <c r="AD37" s="1298"/>
      <c r="AE37" s="1298"/>
      <c r="AF37" s="1298"/>
      <c r="AG37" s="1298"/>
      <c r="AH37" s="1299"/>
      <c r="AI37" s="1300" t="s">
        <v>429</v>
      </c>
      <c r="AJ37" s="1297" t="s">
        <v>427</v>
      </c>
      <c r="AK37" s="1298"/>
      <c r="AL37" s="1298"/>
      <c r="AM37" s="1298"/>
      <c r="AN37" s="1298"/>
      <c r="AO37" s="1299"/>
      <c r="AP37" s="1300" t="s">
        <v>428</v>
      </c>
      <c r="AQ37" s="1297" t="s">
        <v>427</v>
      </c>
      <c r="AR37" s="1298"/>
      <c r="AS37" s="1298"/>
      <c r="AT37" s="1298"/>
      <c r="AU37" s="1298"/>
      <c r="AV37" s="1299"/>
      <c r="AW37" s="1300" t="s">
        <v>428</v>
      </c>
      <c r="AX37" s="1297" t="s">
        <v>427</v>
      </c>
      <c r="AY37" s="1298"/>
      <c r="AZ37" s="1298"/>
      <c r="BA37" s="1298"/>
      <c r="BB37" s="1298"/>
      <c r="BC37" s="1299"/>
      <c r="BD37" s="1300" t="s">
        <v>428</v>
      </c>
      <c r="BE37" s="1303" t="s">
        <v>430</v>
      </c>
      <c r="BF37" s="1146"/>
      <c r="BL37" s="10">
        <v>14</v>
      </c>
    </row>
    <row r="38" spans="1:64" ht="35.65" customHeight="1">
      <c r="Q38" s="27"/>
      <c r="R38" s="27"/>
      <c r="S38" s="1296"/>
      <c r="T38" s="1244"/>
      <c r="U38" s="604"/>
      <c r="V38" s="337" t="s">
        <v>486</v>
      </c>
      <c r="W38" s="1128" t="s">
        <v>433</v>
      </c>
      <c r="X38" s="1127"/>
      <c r="Y38" s="1128" t="s">
        <v>434</v>
      </c>
      <c r="Z38" s="1133"/>
      <c r="AA38" s="1127"/>
      <c r="AB38" s="1301"/>
      <c r="AC38" s="337" t="s">
        <v>486</v>
      </c>
      <c r="AD38" s="1128" t="s">
        <v>433</v>
      </c>
      <c r="AE38" s="1127"/>
      <c r="AF38" s="1128" t="s">
        <v>434</v>
      </c>
      <c r="AG38" s="1133"/>
      <c r="AH38" s="1127"/>
      <c r="AI38" s="1301"/>
      <c r="AJ38" s="337" t="s">
        <v>486</v>
      </c>
      <c r="AK38" s="1128" t="s">
        <v>433</v>
      </c>
      <c r="AL38" s="1127"/>
      <c r="AM38" s="1128" t="s">
        <v>434</v>
      </c>
      <c r="AN38" s="1133"/>
      <c r="AO38" s="1127"/>
      <c r="AP38" s="1301"/>
      <c r="AQ38" s="337" t="s">
        <v>486</v>
      </c>
      <c r="AR38" s="1128" t="s">
        <v>433</v>
      </c>
      <c r="AS38" s="1127"/>
      <c r="AT38" s="1128" t="s">
        <v>434</v>
      </c>
      <c r="AU38" s="1133"/>
      <c r="AV38" s="1127"/>
      <c r="AW38" s="1301"/>
      <c r="AX38" s="337" t="s">
        <v>486</v>
      </c>
      <c r="AY38" s="1128" t="s">
        <v>433</v>
      </c>
      <c r="AZ38" s="1127"/>
      <c r="BA38" s="1128" t="s">
        <v>434</v>
      </c>
      <c r="BB38" s="1133"/>
      <c r="BC38" s="1127"/>
      <c r="BD38" s="1301"/>
      <c r="BE38" s="1304"/>
      <c r="BF38" s="1146"/>
      <c r="BL38" s="10">
        <v>34</v>
      </c>
    </row>
    <row r="39" spans="1:64" ht="35.65" customHeight="1">
      <c r="A39" s="79"/>
      <c r="B39" s="79" t="s">
        <v>133</v>
      </c>
      <c r="C39" s="79" t="s">
        <v>134</v>
      </c>
      <c r="D39" s="79" t="s">
        <v>135</v>
      </c>
      <c r="E39" s="767" t="s">
        <v>435</v>
      </c>
      <c r="F39" s="767" t="s">
        <v>436</v>
      </c>
      <c r="G39" s="767" t="s">
        <v>437</v>
      </c>
      <c r="H39" s="767"/>
      <c r="I39" s="767" t="s">
        <v>487</v>
      </c>
      <c r="J39" s="767" t="s">
        <v>440</v>
      </c>
      <c r="K39" s="767" t="s">
        <v>488</v>
      </c>
      <c r="L39" s="767" t="s">
        <v>416</v>
      </c>
      <c r="Q39" s="27"/>
      <c r="R39" s="27"/>
      <c r="S39" s="1296"/>
      <c r="T39" s="1244"/>
      <c r="U39" s="170"/>
      <c r="V39" s="337" t="s">
        <v>489</v>
      </c>
      <c r="W39" s="38" t="s">
        <v>490</v>
      </c>
      <c r="X39" s="38" t="s">
        <v>491</v>
      </c>
      <c r="Y39" s="38" t="s">
        <v>444</v>
      </c>
      <c r="Z39" s="1249" t="s">
        <v>445</v>
      </c>
      <c r="AA39" s="1263"/>
      <c r="AB39" s="1302"/>
      <c r="AC39" s="337" t="s">
        <v>489</v>
      </c>
      <c r="AD39" s="38" t="s">
        <v>490</v>
      </c>
      <c r="AE39" s="38" t="s">
        <v>491</v>
      </c>
      <c r="AF39" s="38" t="s">
        <v>444</v>
      </c>
      <c r="AG39" s="1249" t="s">
        <v>445</v>
      </c>
      <c r="AH39" s="1263"/>
      <c r="AI39" s="1302"/>
      <c r="AJ39" s="337" t="s">
        <v>489</v>
      </c>
      <c r="AK39" s="38" t="s">
        <v>490</v>
      </c>
      <c r="AL39" s="38" t="s">
        <v>491</v>
      </c>
      <c r="AM39" s="38" t="s">
        <v>444</v>
      </c>
      <c r="AN39" s="1249" t="s">
        <v>445</v>
      </c>
      <c r="AO39" s="1263"/>
      <c r="AP39" s="1302"/>
      <c r="AQ39" s="337" t="s">
        <v>489</v>
      </c>
      <c r="AR39" s="38" t="s">
        <v>490</v>
      </c>
      <c r="AS39" s="38" t="s">
        <v>491</v>
      </c>
      <c r="AT39" s="38" t="s">
        <v>444</v>
      </c>
      <c r="AU39" s="1249" t="s">
        <v>445</v>
      </c>
      <c r="AV39" s="1263"/>
      <c r="AW39" s="1302"/>
      <c r="AX39" s="337" t="s">
        <v>489</v>
      </c>
      <c r="AY39" s="38" t="s">
        <v>490</v>
      </c>
      <c r="AZ39" s="38" t="s">
        <v>491</v>
      </c>
      <c r="BA39" s="38" t="s">
        <v>444</v>
      </c>
      <c r="BB39" s="1249" t="s">
        <v>445</v>
      </c>
      <c r="BC39" s="1263"/>
      <c r="BD39" s="1302"/>
      <c r="BE39" s="1305"/>
      <c r="BF39" s="1146"/>
      <c r="BL39" s="10">
        <v>34</v>
      </c>
    </row>
    <row r="40" spans="1:64" s="200" customFormat="1" ht="0" hidden="1" customHeight="1">
      <c r="A40" s="79"/>
      <c r="B40" s="79"/>
      <c r="C40" s="79"/>
      <c r="D40" s="79"/>
      <c r="E40" s="79"/>
      <c r="F40" s="79"/>
      <c r="G40" s="79"/>
      <c r="H40" s="79"/>
      <c r="I40" s="79"/>
      <c r="J40" s="79"/>
      <c r="K40" s="79"/>
      <c r="L40" s="767"/>
      <c r="M40" s="503"/>
      <c r="N40" s="503"/>
      <c r="O40" s="503"/>
      <c r="P40" s="719"/>
      <c r="Q40" s="720"/>
      <c r="R40" s="722">
        <v>1</v>
      </c>
      <c r="S40" s="738" t="s">
        <v>107</v>
      </c>
      <c r="T40" s="723" t="s">
        <v>108</v>
      </c>
      <c r="U40" s="718" t="str">
        <f ca="1">OFFSET(U40,0,-1)</f>
        <v>2</v>
      </c>
      <c r="V40" s="724">
        <f ca="1">OFFSET(V40,0,-1)+1</f>
        <v>3</v>
      </c>
      <c r="W40" s="724">
        <f ca="1">OFFSET(W40,0,-1)+1</f>
        <v>4</v>
      </c>
      <c r="X40" s="724">
        <f ca="1">OFFSET(X40,0,-1)+1</f>
        <v>5</v>
      </c>
      <c r="Y40" s="724">
        <f ca="1">OFFSET(Y40,0,-1)+1</f>
        <v>6</v>
      </c>
      <c r="Z40" s="1294">
        <f ca="1">OFFSET(Z40,0,-1)+1</f>
        <v>7</v>
      </c>
      <c r="AA40" s="1294"/>
      <c r="AB40" s="724">
        <f ca="1">OFFSET(AB40,0,-2)+1</f>
        <v>8</v>
      </c>
      <c r="AC40" s="724">
        <f ca="1">OFFSET(AC40,0,-1)+1</f>
        <v>9</v>
      </c>
      <c r="AD40" s="724">
        <f ca="1">OFFSET(AD40,0,-1)+1</f>
        <v>10</v>
      </c>
      <c r="AE40" s="724">
        <f ca="1">OFFSET(AE40,0,-1)+1</f>
        <v>11</v>
      </c>
      <c r="AF40" s="724">
        <f ca="1">OFFSET(AF40,0,-1)+1</f>
        <v>12</v>
      </c>
      <c r="AG40" s="1294">
        <f ca="1">OFFSET(AG40,0,-1)+1</f>
        <v>13</v>
      </c>
      <c r="AH40" s="1294"/>
      <c r="AI40" s="724">
        <f ca="1">OFFSET(AI40,0,-2)+1</f>
        <v>14</v>
      </c>
      <c r="AJ40" s="724">
        <f ca="1">OFFSET(AJ40,0,-1)+1</f>
        <v>15</v>
      </c>
      <c r="AK40" s="724">
        <f ca="1">OFFSET(AK40,0,-1)+1</f>
        <v>16</v>
      </c>
      <c r="AL40" s="724">
        <f ca="1">OFFSET(AL40,0,-1)+1</f>
        <v>17</v>
      </c>
      <c r="AM40" s="724">
        <f ca="1">OFFSET(AM40,0,-1)+1</f>
        <v>18</v>
      </c>
      <c r="AN40" s="1294">
        <f ca="1">OFFSET(AN40,0,-1)+1</f>
        <v>19</v>
      </c>
      <c r="AO40" s="1294"/>
      <c r="AP40" s="724">
        <f ca="1">OFFSET(AP40,0,-2)+1</f>
        <v>20</v>
      </c>
      <c r="AQ40" s="724">
        <f ca="1">OFFSET(AQ40,0,-1)+1</f>
        <v>21</v>
      </c>
      <c r="AR40" s="724">
        <f ca="1">OFFSET(AR40,0,-1)+1</f>
        <v>22</v>
      </c>
      <c r="AS40" s="724">
        <f ca="1">OFFSET(AS40,0,-1)+1</f>
        <v>23</v>
      </c>
      <c r="AT40" s="724">
        <f ca="1">OFFSET(AT40,0,-1)+1</f>
        <v>24</v>
      </c>
      <c r="AU40" s="1294">
        <f ca="1">OFFSET(AU40,0,-1)+1</f>
        <v>25</v>
      </c>
      <c r="AV40" s="1294"/>
      <c r="AW40" s="724">
        <f ca="1">OFFSET(AW40,0,-2)+1</f>
        <v>26</v>
      </c>
      <c r="AX40" s="724">
        <f ca="1">OFFSET(AX40,0,-1)+1</f>
        <v>27</v>
      </c>
      <c r="AY40" s="724">
        <f ca="1">OFFSET(AY40,0,-1)+1</f>
        <v>28</v>
      </c>
      <c r="AZ40" s="724">
        <f ca="1">OFFSET(AZ40,0,-1)+1</f>
        <v>29</v>
      </c>
      <c r="BA40" s="724">
        <f ca="1">OFFSET(BA40,0,-1)+1</f>
        <v>30</v>
      </c>
      <c r="BB40" s="1294">
        <f ca="1">OFFSET(BB40,0,-1)+1</f>
        <v>31</v>
      </c>
      <c r="BC40" s="1294"/>
      <c r="BD40" s="724">
        <f ca="1">OFFSET(BD40,0,-2)+1</f>
        <v>32</v>
      </c>
      <c r="BE40" s="718">
        <f ca="1">OFFSET(BE40,0,-1)</f>
        <v>32</v>
      </c>
      <c r="BF40" s="724">
        <f ca="1">OFFSET(BF40,0,-1)+1</f>
        <v>33</v>
      </c>
      <c r="BG40" s="65"/>
      <c r="BH40" s="65"/>
      <c r="BI40" s="65"/>
      <c r="BJ40" s="65"/>
      <c r="BK40" s="65"/>
      <c r="BL40" s="200">
        <v>0</v>
      </c>
    </row>
    <row r="41" spans="1:64" ht="24" customHeight="1">
      <c r="A41" s="766" t="s">
        <v>228</v>
      </c>
      <c r="B41" s="766"/>
      <c r="C41" s="766"/>
      <c r="D41" s="766"/>
      <c r="E41" s="1283">
        <v>1</v>
      </c>
      <c r="F41" s="766"/>
      <c r="G41" s="766"/>
      <c r="H41" s="766"/>
      <c r="I41" s="766"/>
      <c r="J41" s="766"/>
      <c r="K41" s="766"/>
      <c r="L41" s="767"/>
      <c r="M41" s="423"/>
      <c r="N41" s="423"/>
      <c r="O41" s="423"/>
      <c r="Q41" s="33"/>
      <c r="R41" s="204"/>
      <c r="S41" s="706">
        <f>INDEX(PT_DIFFERENTIATION_NUM_NTAR,MATCH(A41,PT_DIFFERENTIATION_NTAR_ID,0))</f>
        <v>1</v>
      </c>
      <c r="T41" s="64" t="s">
        <v>121</v>
      </c>
      <c r="U41" s="168"/>
      <c r="V41" s="1277"/>
      <c r="W41" s="1278"/>
      <c r="X41" s="1278"/>
      <c r="Y41" s="1278"/>
      <c r="Z41" s="1278"/>
      <c r="AA41" s="1278"/>
      <c r="AB41" s="1279"/>
      <c r="AC41" s="1277" t="str">
        <f>INDEX(PT_DIFFERENTIATION_NTAR,MATCH(A41,PT_DIFFERENTIATION_NTAR_ID,0))</f>
        <v>Тариф на техническую воду</v>
      </c>
      <c r="AD41" s="1278"/>
      <c r="AE41" s="1278"/>
      <c r="AF41" s="1278"/>
      <c r="AG41" s="1278"/>
      <c r="AH41" s="1278"/>
      <c r="AI41" s="1278"/>
      <c r="AJ41" s="1277"/>
      <c r="AK41" s="1278"/>
      <c r="AL41" s="1278"/>
      <c r="AM41" s="1278"/>
      <c r="AN41" s="1278"/>
      <c r="AO41" s="1278"/>
      <c r="AP41" s="1279"/>
      <c r="AQ41" s="1277"/>
      <c r="AR41" s="1278"/>
      <c r="AS41" s="1278"/>
      <c r="AT41" s="1278"/>
      <c r="AU41" s="1278"/>
      <c r="AV41" s="1278"/>
      <c r="AW41" s="1279"/>
      <c r="AX41" s="1277"/>
      <c r="AY41" s="1278"/>
      <c r="AZ41" s="1278"/>
      <c r="BA41" s="1278"/>
      <c r="BB41" s="1278"/>
      <c r="BC41" s="1278"/>
      <c r="BD41" s="1279"/>
      <c r="BE41" s="1279"/>
      <c r="BF41"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H41" s="66"/>
      <c r="BI41" s="66" t="str">
        <f t="shared" ref="BI41:BI53" si="1">IF(T41="","",T41)</f>
        <v>Наименование тарифа</v>
      </c>
      <c r="BJ41" s="66"/>
      <c r="BK41" s="66"/>
      <c r="BL41" s="10">
        <v>23</v>
      </c>
    </row>
    <row r="42" spans="1:64" ht="24" customHeight="1">
      <c r="A42" s="766" t="s">
        <v>228</v>
      </c>
      <c r="B42" s="766" t="s">
        <v>229</v>
      </c>
      <c r="C42" s="766"/>
      <c r="D42" s="766"/>
      <c r="E42" s="1284"/>
      <c r="F42" s="1283">
        <v>1</v>
      </c>
      <c r="G42" s="766"/>
      <c r="H42" s="766"/>
      <c r="I42" s="766"/>
      <c r="J42" s="766"/>
      <c r="K42" s="766"/>
      <c r="L42" s="767"/>
      <c r="M42" s="423"/>
      <c r="N42" s="423"/>
      <c r="O42" s="423"/>
      <c r="P42" s="56"/>
      <c r="Q42" s="201"/>
      <c r="R42" s="202"/>
      <c r="S42" s="706" t="str">
        <f>INDEX(PT_DIFFERENTIATION_NUM_TER,MATCH(B42,PT_DIFFERENTIATION_TER_ID,0))</f>
        <v>1.1</v>
      </c>
      <c r="T42" s="174" t="s">
        <v>397</v>
      </c>
      <c r="U42" s="168"/>
      <c r="V42" s="1277"/>
      <c r="W42" s="1278"/>
      <c r="X42" s="1278"/>
      <c r="Y42" s="1278"/>
      <c r="Z42" s="1278"/>
      <c r="AA42" s="1278"/>
      <c r="AB42" s="1279"/>
      <c r="AC42" s="1277" t="str">
        <f>INDEX(PT_DIFFERENTIATION_TER,MATCH(B42,PT_DIFFERENTIATION_TER_ID,0))</f>
        <v>Территория 1</v>
      </c>
      <c r="AD42" s="1278"/>
      <c r="AE42" s="1278"/>
      <c r="AF42" s="1278"/>
      <c r="AG42" s="1278"/>
      <c r="AH42" s="1278"/>
      <c r="AI42" s="1278"/>
      <c r="AJ42" s="1277"/>
      <c r="AK42" s="1278"/>
      <c r="AL42" s="1278"/>
      <c r="AM42" s="1278"/>
      <c r="AN42" s="1278"/>
      <c r="AO42" s="1278"/>
      <c r="AP42" s="1279"/>
      <c r="AQ42" s="1277"/>
      <c r="AR42" s="1278"/>
      <c r="AS42" s="1278"/>
      <c r="AT42" s="1278"/>
      <c r="AU42" s="1278"/>
      <c r="AV42" s="1278"/>
      <c r="AW42" s="1279"/>
      <c r="AX42" s="1277"/>
      <c r="AY42" s="1278"/>
      <c r="AZ42" s="1278"/>
      <c r="BA42" s="1278"/>
      <c r="BB42" s="1278"/>
      <c r="BC42" s="1278"/>
      <c r="BD42" s="1279"/>
      <c r="BE42" s="1279"/>
      <c r="BF42" s="726" t="s">
        <v>398</v>
      </c>
      <c r="BH42" s="66"/>
      <c r="BI42" s="66" t="str">
        <f t="shared" si="1"/>
        <v>Территория действия тарифа</v>
      </c>
      <c r="BJ42" s="66"/>
      <c r="BK42" s="66"/>
      <c r="BL42" s="10">
        <v>23</v>
      </c>
    </row>
    <row r="43" spans="1:64" ht="24" customHeight="1">
      <c r="A43" s="766" t="s">
        <v>228</v>
      </c>
      <c r="B43" s="766" t="s">
        <v>229</v>
      </c>
      <c r="C43" s="766" t="s">
        <v>230</v>
      </c>
      <c r="D43" s="766"/>
      <c r="E43" s="1284"/>
      <c r="F43" s="1284"/>
      <c r="G43" s="1283">
        <v>1</v>
      </c>
      <c r="H43" s="766"/>
      <c r="I43" s="766"/>
      <c r="J43" s="766"/>
      <c r="K43" s="766"/>
      <c r="L43" s="767"/>
      <c r="M43" s="423"/>
      <c r="N43" s="423"/>
      <c r="O43" s="423"/>
      <c r="P43" s="203"/>
      <c r="Q43" s="201"/>
      <c r="R43" s="202"/>
      <c r="S43" s="706" t="str">
        <f>INDEX(PT_DIFFERENTIATION_NUM_CS,MATCH(C43,PT_DIFFERENTIATION_CS_ID,0))</f>
        <v>1.1.1</v>
      </c>
      <c r="T43" s="175" t="s">
        <v>478</v>
      </c>
      <c r="U43" s="168"/>
      <c r="V43" s="1277"/>
      <c r="W43" s="1278"/>
      <c r="X43" s="1278"/>
      <c r="Y43" s="1278"/>
      <c r="Z43" s="1278"/>
      <c r="AA43" s="1278"/>
      <c r="AB43" s="1279"/>
      <c r="AC43" s="1277" t="str">
        <f>INDEX(PT_DIFFERENTIATION_CS,MATCH(C43,PT_DIFFERENTIATION_CS_ID,0))</f>
        <v>без дифференциации</v>
      </c>
      <c r="AD43" s="1278"/>
      <c r="AE43" s="1278"/>
      <c r="AF43" s="1278"/>
      <c r="AG43" s="1278"/>
      <c r="AH43" s="1278"/>
      <c r="AI43" s="1278"/>
      <c r="AJ43" s="1277"/>
      <c r="AK43" s="1278"/>
      <c r="AL43" s="1278"/>
      <c r="AM43" s="1278"/>
      <c r="AN43" s="1278"/>
      <c r="AO43" s="1278"/>
      <c r="AP43" s="1279"/>
      <c r="AQ43" s="1277"/>
      <c r="AR43" s="1278"/>
      <c r="AS43" s="1278"/>
      <c r="AT43" s="1278"/>
      <c r="AU43" s="1278"/>
      <c r="AV43" s="1278"/>
      <c r="AW43" s="1279"/>
      <c r="AX43" s="1277"/>
      <c r="AY43" s="1278"/>
      <c r="AZ43" s="1278"/>
      <c r="BA43" s="1278"/>
      <c r="BB43" s="1278"/>
      <c r="BC43" s="1278"/>
      <c r="BD43" s="1279"/>
      <c r="BE43" s="1279"/>
      <c r="BF43" s="726" t="s">
        <v>479</v>
      </c>
      <c r="BH43" s="66"/>
      <c r="BI43" s="66" t="str">
        <f t="shared" si="1"/>
        <v>Наименование централизованной системы холодного водоснабжения</v>
      </c>
      <c r="BJ43" s="66"/>
      <c r="BK43" s="66"/>
      <c r="BL43" s="10">
        <v>23</v>
      </c>
    </row>
    <row r="44" spans="1:64" ht="24" customHeight="1">
      <c r="A44" s="766" t="s">
        <v>228</v>
      </c>
      <c r="B44" s="766" t="s">
        <v>229</v>
      </c>
      <c r="C44" s="766" t="s">
        <v>230</v>
      </c>
      <c r="D44" s="766" t="s">
        <v>494</v>
      </c>
      <c r="E44" s="1284"/>
      <c r="F44" s="1284"/>
      <c r="G44" s="1284"/>
      <c r="H44" s="1284"/>
      <c r="I44" s="1285" t="str">
        <f>S43&amp;".1"</f>
        <v>1.1.1.1</v>
      </c>
      <c r="J44" s="766"/>
      <c r="K44" s="766"/>
      <c r="L44" s="767"/>
      <c r="P44" s="1287">
        <v>1</v>
      </c>
      <c r="Q44" s="119"/>
      <c r="R44" s="205"/>
      <c r="S44" s="706" t="str">
        <f>$I44</f>
        <v>1.1.1.1</v>
      </c>
      <c r="T44" s="161" t="s">
        <v>480</v>
      </c>
      <c r="U44" s="168"/>
      <c r="V44" s="1351"/>
      <c r="W44" s="1352"/>
      <c r="X44" s="1352"/>
      <c r="Y44" s="1352"/>
      <c r="Z44" s="1352"/>
      <c r="AA44" s="1352"/>
      <c r="AB44" s="1353"/>
      <c r="AC44" s="1354"/>
      <c r="AD44" s="1355"/>
      <c r="AE44" s="1355"/>
      <c r="AF44" s="1355"/>
      <c r="AG44" s="1355"/>
      <c r="AH44" s="1355"/>
      <c r="AI44" s="1355"/>
      <c r="AJ44" s="1351"/>
      <c r="AK44" s="1352"/>
      <c r="AL44" s="1352"/>
      <c r="AM44" s="1352"/>
      <c r="AN44" s="1352"/>
      <c r="AO44" s="1352"/>
      <c r="AP44" s="1353"/>
      <c r="AQ44" s="1351"/>
      <c r="AR44" s="1352"/>
      <c r="AS44" s="1352"/>
      <c r="AT44" s="1352"/>
      <c r="AU44" s="1352"/>
      <c r="AV44" s="1352"/>
      <c r="AW44" s="1353"/>
      <c r="AX44" s="1351"/>
      <c r="AY44" s="1352"/>
      <c r="AZ44" s="1352"/>
      <c r="BA44" s="1352"/>
      <c r="BB44" s="1352"/>
      <c r="BC44" s="1352"/>
      <c r="BD44" s="1353"/>
      <c r="BE44" s="1356"/>
      <c r="BF44" s="726" t="s">
        <v>481</v>
      </c>
      <c r="BH44" s="66"/>
      <c r="BI44" s="66" t="str">
        <f t="shared" si="1"/>
        <v>Наименование признака дифференциации</v>
      </c>
      <c r="BJ44" s="66"/>
      <c r="BK44" s="66"/>
      <c r="BL44" s="10">
        <v>23</v>
      </c>
    </row>
    <row r="45" spans="1:64" ht="24" customHeight="1">
      <c r="A45" s="766" t="s">
        <v>228</v>
      </c>
      <c r="B45" s="766" t="s">
        <v>229</v>
      </c>
      <c r="C45" s="766" t="s">
        <v>230</v>
      </c>
      <c r="D45" s="766" t="s">
        <v>494</v>
      </c>
      <c r="E45" s="1284"/>
      <c r="F45" s="1284"/>
      <c r="G45" s="1284"/>
      <c r="H45" s="1284"/>
      <c r="I45" s="1286"/>
      <c r="J45" s="1285" t="str">
        <f>I44&amp;".1"</f>
        <v>1.1.1.1.1</v>
      </c>
      <c r="K45" s="766"/>
      <c r="L45" s="767" t="s">
        <v>406</v>
      </c>
      <c r="P45" s="1287"/>
      <c r="Q45" s="1287">
        <v>1</v>
      </c>
      <c r="R45" s="206"/>
      <c r="S45" s="706" t="str">
        <f>$J45</f>
        <v>1.1.1.1.1</v>
      </c>
      <c r="T45" s="162" t="s">
        <v>407</v>
      </c>
      <c r="U45" s="168"/>
      <c r="V45" s="1271"/>
      <c r="W45" s="1272"/>
      <c r="X45" s="1272"/>
      <c r="Y45" s="1272"/>
      <c r="Z45" s="1272"/>
      <c r="AA45" s="1272"/>
      <c r="AB45" s="1273"/>
      <c r="AC45" s="1271" t="s">
        <v>495</v>
      </c>
      <c r="AD45" s="1272"/>
      <c r="AE45" s="1272"/>
      <c r="AF45" s="1272"/>
      <c r="AG45" s="1272"/>
      <c r="AH45" s="1272"/>
      <c r="AI45" s="1272"/>
      <c r="AJ45" s="1271"/>
      <c r="AK45" s="1272"/>
      <c r="AL45" s="1272"/>
      <c r="AM45" s="1272"/>
      <c r="AN45" s="1272"/>
      <c r="AO45" s="1272"/>
      <c r="AP45" s="1273"/>
      <c r="AQ45" s="1271"/>
      <c r="AR45" s="1272"/>
      <c r="AS45" s="1272"/>
      <c r="AT45" s="1272"/>
      <c r="AU45" s="1272"/>
      <c r="AV45" s="1272"/>
      <c r="AW45" s="1273"/>
      <c r="AX45" s="1271"/>
      <c r="AY45" s="1272"/>
      <c r="AZ45" s="1272"/>
      <c r="BA45" s="1272"/>
      <c r="BB45" s="1272"/>
      <c r="BC45" s="1272"/>
      <c r="BD45" s="1273"/>
      <c r="BE45" s="1273"/>
      <c r="BF45" s="750" t="s">
        <v>482</v>
      </c>
      <c r="BH45" s="66"/>
      <c r="BI45" s="66" t="str">
        <f t="shared" si="1"/>
        <v>Группа потребителей</v>
      </c>
      <c r="BJ45" s="66"/>
      <c r="BK45" s="66"/>
      <c r="BL45" s="10">
        <v>23</v>
      </c>
    </row>
    <row r="46" spans="1:64" ht="24" customHeight="1">
      <c r="A46" s="766" t="s">
        <v>228</v>
      </c>
      <c r="B46" s="766" t="s">
        <v>229</v>
      </c>
      <c r="C46" s="766" t="s">
        <v>230</v>
      </c>
      <c r="D46" s="766" t="s">
        <v>494</v>
      </c>
      <c r="E46" s="1284"/>
      <c r="F46" s="1284"/>
      <c r="G46" s="1284"/>
      <c r="H46" s="1284"/>
      <c r="I46" s="1286"/>
      <c r="J46" s="1286"/>
      <c r="K46" s="1285" t="str">
        <f>J45&amp;".1"</f>
        <v>1.1.1.1.1.1</v>
      </c>
      <c r="L46" s="767"/>
      <c r="P46" s="1287"/>
      <c r="Q46" s="1287"/>
      <c r="R46" s="206">
        <v>1</v>
      </c>
      <c r="S46" s="706" t="str">
        <f>$K46</f>
        <v>1.1.1.1.1.1</v>
      </c>
      <c r="T46" s="810"/>
      <c r="U46" s="168"/>
      <c r="V46" s="303"/>
      <c r="W46" s="303"/>
      <c r="X46" s="725"/>
      <c r="Y46" s="1288"/>
      <c r="Z46" s="1156" t="s">
        <v>64</v>
      </c>
      <c r="AA46" s="1288"/>
      <c r="AB46" s="1156" t="s">
        <v>64</v>
      </c>
      <c r="AC46" s="303">
        <v>30.11</v>
      </c>
      <c r="AD46" s="303"/>
      <c r="AE46" s="725"/>
      <c r="AF46" s="1288">
        <v>46023</v>
      </c>
      <c r="AG46" s="1156" t="s">
        <v>64</v>
      </c>
      <c r="AH46" s="1290">
        <v>46387</v>
      </c>
      <c r="AI46" s="1156" t="s">
        <v>64</v>
      </c>
      <c r="AJ46" s="303">
        <v>31.32</v>
      </c>
      <c r="AK46" s="303"/>
      <c r="AL46" s="725"/>
      <c r="AM46" s="1288">
        <v>46388</v>
      </c>
      <c r="AN46" s="1156" t="s">
        <v>64</v>
      </c>
      <c r="AO46" s="1288">
        <v>46752</v>
      </c>
      <c r="AP46" s="1156" t="s">
        <v>64</v>
      </c>
      <c r="AQ46" s="303">
        <v>32.57</v>
      </c>
      <c r="AR46" s="303"/>
      <c r="AS46" s="725"/>
      <c r="AT46" s="1288">
        <v>46753</v>
      </c>
      <c r="AU46" s="1156" t="s">
        <v>64</v>
      </c>
      <c r="AV46" s="1288">
        <v>47118</v>
      </c>
      <c r="AW46" s="1156" t="s">
        <v>64</v>
      </c>
      <c r="AX46" s="303">
        <v>33.869999999999997</v>
      </c>
      <c r="AY46" s="303"/>
      <c r="AZ46" s="725"/>
      <c r="BA46" s="1288">
        <v>47119</v>
      </c>
      <c r="BB46" s="1156" t="s">
        <v>64</v>
      </c>
      <c r="BC46" s="1288">
        <v>47483</v>
      </c>
      <c r="BD46" s="1156" t="s">
        <v>64</v>
      </c>
      <c r="BE46" s="811"/>
      <c r="BF46"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46" s="65" t="e">
        <f ca="1">STRCHECKDATE(V47:BE47)</f>
        <v>#NAME?</v>
      </c>
      <c r="BH46" s="66"/>
      <c r="BI46" s="66" t="str">
        <f t="shared" si="1"/>
        <v/>
      </c>
      <c r="BJ46" s="66"/>
      <c r="BK46" s="66"/>
      <c r="BL46" s="10">
        <v>23</v>
      </c>
    </row>
    <row r="47" spans="1:64" ht="0" hidden="1" customHeight="1">
      <c r="A47" s="766" t="s">
        <v>228</v>
      </c>
      <c r="B47" s="766" t="s">
        <v>229</v>
      </c>
      <c r="C47" s="766" t="s">
        <v>230</v>
      </c>
      <c r="D47" s="766" t="s">
        <v>494</v>
      </c>
      <c r="E47" s="1284"/>
      <c r="F47" s="1284"/>
      <c r="G47" s="1284"/>
      <c r="H47" s="1284"/>
      <c r="I47" s="1286"/>
      <c r="J47" s="1286"/>
      <c r="K47" s="1285"/>
      <c r="L47" s="767"/>
      <c r="P47" s="1287"/>
      <c r="Q47" s="1287"/>
      <c r="R47" s="206"/>
      <c r="S47" s="62"/>
      <c r="T47" s="168"/>
      <c r="U47" s="168"/>
      <c r="V47" s="188"/>
      <c r="W47" s="188"/>
      <c r="X47" s="189" t="str">
        <f>Y46&amp;"-"&amp;AA46</f>
        <v>-</v>
      </c>
      <c r="Y47" s="1289"/>
      <c r="Z47" s="1156"/>
      <c r="AA47" s="1289"/>
      <c r="AB47" s="1156"/>
      <c r="AC47" s="188"/>
      <c r="AD47" s="188"/>
      <c r="AE47" s="189" t="str">
        <f>AF46&amp;"-"&amp;AH46</f>
        <v>46023-46387</v>
      </c>
      <c r="AF47" s="1289"/>
      <c r="AG47" s="1156"/>
      <c r="AH47" s="1291"/>
      <c r="AI47" s="1156"/>
      <c r="AJ47" s="188"/>
      <c r="AK47" s="188"/>
      <c r="AL47" s="189" t="str">
        <f>AM46&amp;"-"&amp;AO46</f>
        <v>46388-46752</v>
      </c>
      <c r="AM47" s="1289"/>
      <c r="AN47" s="1156"/>
      <c r="AO47" s="1289"/>
      <c r="AP47" s="1156"/>
      <c r="AQ47" s="188"/>
      <c r="AR47" s="188"/>
      <c r="AS47" s="189" t="str">
        <f>AT46&amp;"-"&amp;AV46</f>
        <v>46753-47118</v>
      </c>
      <c r="AT47" s="1289"/>
      <c r="AU47" s="1156"/>
      <c r="AV47" s="1289"/>
      <c r="AW47" s="1156"/>
      <c r="AX47" s="188"/>
      <c r="AY47" s="188"/>
      <c r="AZ47" s="189" t="str">
        <f>BA46&amp;"-"&amp;BC46</f>
        <v>47119-47483</v>
      </c>
      <c r="BA47" s="1289"/>
      <c r="BB47" s="1156"/>
      <c r="BC47" s="1289"/>
      <c r="BD47" s="1156"/>
      <c r="BE47" s="385"/>
      <c r="BF47" s="1357"/>
      <c r="BH47" s="66"/>
      <c r="BI47" s="66" t="str">
        <f t="shared" si="1"/>
        <v/>
      </c>
      <c r="BJ47" s="66"/>
      <c r="BK47" s="66"/>
      <c r="BL47" s="10">
        <v>0</v>
      </c>
    </row>
    <row r="48" spans="1:64" ht="21" customHeight="1">
      <c r="A48" s="766" t="s">
        <v>228</v>
      </c>
      <c r="B48" s="766" t="s">
        <v>229</v>
      </c>
      <c r="C48" s="766" t="s">
        <v>230</v>
      </c>
      <c r="D48" s="766" t="s">
        <v>494</v>
      </c>
      <c r="E48" s="1284"/>
      <c r="F48" s="1284"/>
      <c r="G48" s="1284"/>
      <c r="H48" s="1284"/>
      <c r="I48" s="1286"/>
      <c r="J48" s="1285"/>
      <c r="K48" s="766"/>
      <c r="L48" s="767"/>
      <c r="P48" s="1287"/>
      <c r="Q48" s="1287"/>
      <c r="R48" s="205"/>
      <c r="S48" s="739"/>
      <c r="T48" s="163" t="s">
        <v>483</v>
      </c>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726" t="s">
        <v>484</v>
      </c>
      <c r="BH48" s="66"/>
      <c r="BI48" s="66" t="str">
        <f t="shared" si="1"/>
        <v>Добавить значение признака дифференциации</v>
      </c>
      <c r="BJ48" s="66"/>
      <c r="BK48" s="66"/>
      <c r="BL48" s="10">
        <v>20</v>
      </c>
    </row>
    <row r="49" spans="1:64" ht="21.95" customHeight="1">
      <c r="A49" s="766" t="s">
        <v>228</v>
      </c>
      <c r="B49" s="766" t="s">
        <v>229</v>
      </c>
      <c r="C49" s="766" t="s">
        <v>230</v>
      </c>
      <c r="D49" s="766" t="s">
        <v>494</v>
      </c>
      <c r="E49" s="1284"/>
      <c r="F49" s="1284"/>
      <c r="G49" s="1284"/>
      <c r="H49" s="1284"/>
      <c r="I49" s="1285"/>
      <c r="J49" s="766"/>
      <c r="K49" s="766"/>
      <c r="L49" s="767"/>
      <c r="P49" s="1287"/>
      <c r="Q49" s="119"/>
      <c r="R49" s="205"/>
      <c r="S49" s="739"/>
      <c r="T49" s="208" t="s">
        <v>412</v>
      </c>
      <c r="U49" s="210"/>
      <c r="V49" s="210"/>
      <c r="W49" s="210"/>
      <c r="X49" s="210"/>
      <c r="Y49" s="210"/>
      <c r="Z49" s="210"/>
      <c r="AA49" s="210"/>
      <c r="AB49" s="209"/>
      <c r="AC49" s="210"/>
      <c r="AD49" s="210"/>
      <c r="AE49" s="210"/>
      <c r="AF49" s="210"/>
      <c r="AG49" s="210"/>
      <c r="AH49" s="210"/>
      <c r="AI49" s="209"/>
      <c r="AJ49" s="210"/>
      <c r="AK49" s="210"/>
      <c r="AL49" s="210"/>
      <c r="AM49" s="210"/>
      <c r="AN49" s="210"/>
      <c r="AO49" s="210"/>
      <c r="AP49" s="209"/>
      <c r="AQ49" s="210"/>
      <c r="AR49" s="210"/>
      <c r="AS49" s="210"/>
      <c r="AT49" s="210"/>
      <c r="AU49" s="210"/>
      <c r="AV49" s="210"/>
      <c r="AW49" s="209"/>
      <c r="AX49" s="210"/>
      <c r="AY49" s="210"/>
      <c r="AZ49" s="210"/>
      <c r="BA49" s="210"/>
      <c r="BB49" s="210"/>
      <c r="BC49" s="210"/>
      <c r="BD49" s="209"/>
      <c r="BE49" s="210"/>
      <c r="BF49" s="812"/>
      <c r="BH49" s="66"/>
      <c r="BI49" s="66" t="str">
        <f t="shared" si="1"/>
        <v>Добавить группу потребителей</v>
      </c>
      <c r="BJ49" s="66"/>
      <c r="BK49" s="66"/>
      <c r="BL49" s="10">
        <v>21</v>
      </c>
    </row>
    <row r="50" spans="1:64" ht="21.95" customHeight="1">
      <c r="A50" s="766" t="s">
        <v>228</v>
      </c>
      <c r="B50" s="766" t="s">
        <v>229</v>
      </c>
      <c r="C50" s="766" t="s">
        <v>230</v>
      </c>
      <c r="D50" s="766" t="s">
        <v>494</v>
      </c>
      <c r="E50" s="1284"/>
      <c r="F50" s="1284"/>
      <c r="G50" s="1284"/>
      <c r="H50" s="1283"/>
      <c r="I50" s="766"/>
      <c r="J50" s="766"/>
      <c r="K50" s="766"/>
      <c r="L50" s="767"/>
      <c r="M50" s="423"/>
      <c r="N50" s="423"/>
      <c r="O50" s="60"/>
      <c r="P50" s="33"/>
      <c r="Q50" s="213"/>
      <c r="R50" s="204"/>
      <c r="S50" s="739"/>
      <c r="T50" s="104" t="s">
        <v>485</v>
      </c>
      <c r="U50" s="210"/>
      <c r="V50" s="210"/>
      <c r="W50" s="210"/>
      <c r="X50" s="210"/>
      <c r="Y50" s="210"/>
      <c r="Z50" s="210"/>
      <c r="AA50" s="210"/>
      <c r="AB50" s="209"/>
      <c r="AC50" s="210"/>
      <c r="AD50" s="210"/>
      <c r="AE50" s="210"/>
      <c r="AF50" s="210"/>
      <c r="AG50" s="210"/>
      <c r="AH50" s="210"/>
      <c r="AI50" s="209"/>
      <c r="AJ50" s="210"/>
      <c r="AK50" s="210"/>
      <c r="AL50" s="210"/>
      <c r="AM50" s="210"/>
      <c r="AN50" s="210"/>
      <c r="AO50" s="210"/>
      <c r="AP50" s="209"/>
      <c r="AQ50" s="210"/>
      <c r="AR50" s="210"/>
      <c r="AS50" s="210"/>
      <c r="AT50" s="210"/>
      <c r="AU50" s="210"/>
      <c r="AV50" s="210"/>
      <c r="AW50" s="209"/>
      <c r="AX50" s="210"/>
      <c r="AY50" s="210"/>
      <c r="AZ50" s="210"/>
      <c r="BA50" s="210"/>
      <c r="BB50" s="210"/>
      <c r="BC50" s="210"/>
      <c r="BD50" s="209"/>
      <c r="BE50" s="210"/>
      <c r="BF50" s="171"/>
      <c r="BH50" s="66"/>
      <c r="BI50" s="66" t="str">
        <f t="shared" si="1"/>
        <v>Добавить наименование признака дифференциации</v>
      </c>
      <c r="BJ50" s="66"/>
      <c r="BK50" s="66"/>
      <c r="BL50" s="10">
        <v>21</v>
      </c>
    </row>
    <row r="51" spans="1:64" s="65" customFormat="1" ht="0" hidden="1" customHeight="1">
      <c r="A51" s="142" t="s">
        <v>228</v>
      </c>
      <c r="B51" s="142" t="s">
        <v>229</v>
      </c>
      <c r="C51" s="142"/>
      <c r="D51" s="142"/>
      <c r="E51" s="1284"/>
      <c r="F51" s="1283"/>
      <c r="G51" s="142"/>
      <c r="H51" s="142"/>
      <c r="I51" s="142"/>
      <c r="J51" s="142"/>
      <c r="K51" s="142"/>
      <c r="L51" s="343"/>
      <c r="M51" s="756"/>
      <c r="N51" s="756"/>
      <c r="P51" s="101"/>
      <c r="Q51" s="752"/>
      <c r="R51" s="101"/>
      <c r="S51" s="757"/>
      <c r="T51" s="759" t="s">
        <v>231</v>
      </c>
      <c r="U51" s="310"/>
      <c r="V51" s="310"/>
      <c r="W51" s="310"/>
      <c r="X51" s="310"/>
      <c r="Y51" s="310"/>
      <c r="Z51" s="310"/>
      <c r="AA51" s="310"/>
      <c r="AB51" s="310"/>
      <c r="AC51" s="310"/>
      <c r="AD51" s="310"/>
      <c r="AE51" s="310"/>
      <c r="AF51" s="310"/>
      <c r="AG51" s="310"/>
      <c r="AH51" s="310"/>
      <c r="AI51" s="310"/>
      <c r="AJ51" s="310"/>
      <c r="AK51" s="310"/>
      <c r="AL51" s="310"/>
      <c r="AM51" s="310"/>
      <c r="AN51" s="310"/>
      <c r="AO51" s="310"/>
      <c r="AP51" s="310"/>
      <c r="AQ51" s="310"/>
      <c r="AR51" s="310"/>
      <c r="AS51" s="310"/>
      <c r="AT51" s="310"/>
      <c r="AU51" s="310"/>
      <c r="AV51" s="310"/>
      <c r="AW51" s="310"/>
      <c r="AX51" s="310"/>
      <c r="AY51" s="310"/>
      <c r="AZ51" s="310"/>
      <c r="BA51" s="310"/>
      <c r="BB51" s="310"/>
      <c r="BC51" s="310"/>
      <c r="BD51" s="310"/>
      <c r="BE51" s="310"/>
      <c r="BF51" s="310"/>
      <c r="BH51" s="66"/>
      <c r="BI51" s="66" t="str">
        <f t="shared" si="1"/>
        <v>Добавить централизованную систему для дифференциации</v>
      </c>
      <c r="BJ51" s="66"/>
      <c r="BK51" s="66"/>
      <c r="BL51" s="65">
        <v>0</v>
      </c>
    </row>
    <row r="52" spans="1:64" s="65" customFormat="1" ht="0" hidden="1" customHeight="1">
      <c r="A52" s="142" t="s">
        <v>228</v>
      </c>
      <c r="B52" s="142"/>
      <c r="C52" s="142"/>
      <c r="D52" s="142"/>
      <c r="E52" s="1283"/>
      <c r="F52" s="142"/>
      <c r="G52" s="142"/>
      <c r="H52" s="142"/>
      <c r="I52" s="142"/>
      <c r="J52" s="142"/>
      <c r="K52" s="142"/>
      <c r="L52" s="343"/>
      <c r="M52" s="756"/>
      <c r="N52" s="756"/>
      <c r="P52" s="101"/>
      <c r="Q52" s="752"/>
      <c r="R52" s="101"/>
      <c r="S52" s="757"/>
      <c r="T52" s="759" t="s">
        <v>232</v>
      </c>
      <c r="U52" s="310"/>
      <c r="V52" s="310"/>
      <c r="W52" s="310"/>
      <c r="X52" s="310"/>
      <c r="Y52" s="310"/>
      <c r="Z52" s="310"/>
      <c r="AA52" s="310"/>
      <c r="AB52" s="310"/>
      <c r="AC52" s="310"/>
      <c r="AD52" s="310"/>
      <c r="AE52" s="310"/>
      <c r="AF52" s="310"/>
      <c r="AG52" s="310"/>
      <c r="AH52" s="310"/>
      <c r="AI52" s="310"/>
      <c r="AJ52" s="310"/>
      <c r="AK52" s="310"/>
      <c r="AL52" s="310"/>
      <c r="AM52" s="310"/>
      <c r="AN52" s="310"/>
      <c r="AO52" s="310"/>
      <c r="AP52" s="310"/>
      <c r="AQ52" s="310"/>
      <c r="AR52" s="310"/>
      <c r="AS52" s="310"/>
      <c r="AT52" s="310"/>
      <c r="AU52" s="310"/>
      <c r="AV52" s="310"/>
      <c r="AW52" s="310"/>
      <c r="AX52" s="310"/>
      <c r="AY52" s="310"/>
      <c r="AZ52" s="310"/>
      <c r="BA52" s="310"/>
      <c r="BB52" s="310"/>
      <c r="BC52" s="310"/>
      <c r="BD52" s="310"/>
      <c r="BE52" s="310"/>
      <c r="BF52" s="310"/>
      <c r="BH52" s="66"/>
      <c r="BI52" s="66" t="str">
        <f t="shared" si="1"/>
        <v>Добавить территорию для дифференциации</v>
      </c>
      <c r="BJ52" s="66"/>
      <c r="BK52" s="66"/>
      <c r="BL52" s="65">
        <v>0</v>
      </c>
    </row>
    <row r="53" spans="1:64" s="65" customFormat="1" ht="0" hidden="1" customHeight="1">
      <c r="A53" s="142"/>
      <c r="B53" s="142"/>
      <c r="C53" s="142"/>
      <c r="D53" s="142"/>
      <c r="E53" s="142"/>
      <c r="F53" s="142"/>
      <c r="G53" s="142"/>
      <c r="H53" s="142"/>
      <c r="I53" s="142"/>
      <c r="J53" s="142"/>
      <c r="K53" s="142"/>
      <c r="L53" s="343"/>
      <c r="M53" s="756"/>
      <c r="N53" s="756"/>
      <c r="P53" s="101"/>
      <c r="Q53" s="752"/>
      <c r="R53" s="101"/>
      <c r="S53" s="757"/>
      <c r="T53" s="759" t="s">
        <v>233</v>
      </c>
      <c r="U53" s="310"/>
      <c r="V53" s="310"/>
      <c r="W53" s="310"/>
      <c r="X53" s="310"/>
      <c r="Y53" s="310"/>
      <c r="Z53" s="310"/>
      <c r="AA53" s="310"/>
      <c r="AB53" s="310"/>
      <c r="AC53" s="310"/>
      <c r="AD53" s="310"/>
      <c r="AE53" s="310"/>
      <c r="AF53" s="310"/>
      <c r="AG53" s="310"/>
      <c r="AH53" s="310"/>
      <c r="AI53" s="310"/>
      <c r="AJ53" s="310"/>
      <c r="AK53" s="310"/>
      <c r="AL53" s="310"/>
      <c r="AM53" s="310"/>
      <c r="AN53" s="310"/>
      <c r="AO53" s="310"/>
      <c r="AP53" s="310"/>
      <c r="AQ53" s="310"/>
      <c r="AR53" s="310"/>
      <c r="AS53" s="310"/>
      <c r="AT53" s="310"/>
      <c r="AU53" s="310"/>
      <c r="AV53" s="310"/>
      <c r="AW53" s="310"/>
      <c r="AX53" s="310"/>
      <c r="AY53" s="310"/>
      <c r="AZ53" s="310"/>
      <c r="BA53" s="310"/>
      <c r="BB53" s="310"/>
      <c r="BC53" s="310"/>
      <c r="BD53" s="310"/>
      <c r="BE53" s="310"/>
      <c r="BF53" s="310"/>
      <c r="BH53" s="66"/>
      <c r="BI53" s="66" t="str">
        <f t="shared" si="1"/>
        <v>Добавить наименование тарифа</v>
      </c>
      <c r="BJ53" s="66"/>
      <c r="BK53" s="66"/>
      <c r="BL53" s="65">
        <v>0</v>
      </c>
    </row>
    <row r="54" spans="1:64" ht="11.45" customHeight="1">
      <c r="M54" s="60"/>
      <c r="N54" s="60"/>
      <c r="O54" s="60"/>
      <c r="P54" s="10"/>
      <c r="Q54" s="10"/>
      <c r="R54" s="10"/>
      <c r="S54" s="10"/>
      <c r="AJ54" s="10"/>
      <c r="AK54" s="10"/>
      <c r="AL54" s="10"/>
      <c r="AM54" s="10"/>
      <c r="AN54" s="10"/>
      <c r="AO54" s="10"/>
      <c r="AP54" s="10"/>
      <c r="AQ54" s="10"/>
      <c r="AR54" s="10"/>
      <c r="AS54" s="10"/>
      <c r="AT54" s="10"/>
      <c r="AU54" s="10"/>
      <c r="AV54" s="10"/>
      <c r="AW54" s="10"/>
      <c r="AX54" s="10"/>
      <c r="AY54" s="10"/>
      <c r="AZ54" s="10"/>
      <c r="BA54" s="10"/>
      <c r="BB54" s="10"/>
      <c r="BC54" s="10"/>
      <c r="BD54" s="10"/>
      <c r="BG54" s="10"/>
      <c r="BH54" s="10"/>
      <c r="BI54" s="10"/>
      <c r="BJ54" s="10"/>
      <c r="BK54" s="10"/>
      <c r="BL54" s="10">
        <v>11</v>
      </c>
    </row>
    <row r="55" spans="1:64" ht="14.65" customHeight="1">
      <c r="O55" s="60"/>
      <c r="S55" s="195"/>
      <c r="T55" s="1282"/>
      <c r="U55" s="1282"/>
      <c r="V55" s="1282"/>
      <c r="W55" s="1282"/>
      <c r="X55" s="1282"/>
      <c r="Y55" s="1282"/>
      <c r="Z55" s="1282"/>
      <c r="AA55" s="1282"/>
      <c r="AB55" s="1282"/>
      <c r="AC55" s="1282"/>
      <c r="AD55" s="1282"/>
      <c r="AE55" s="1282"/>
      <c r="AF55" s="1282"/>
      <c r="AG55" s="1282"/>
      <c r="AH55" s="1282"/>
      <c r="AI55" s="1282"/>
      <c r="AJ55" s="1282"/>
      <c r="AK55" s="1282"/>
      <c r="AL55" s="1282"/>
      <c r="AM55" s="1282"/>
      <c r="AN55" s="1282"/>
      <c r="AO55" s="1282"/>
      <c r="AP55" s="1282"/>
      <c r="AQ55" s="1282"/>
      <c r="AR55" s="1282"/>
      <c r="AS55" s="1282"/>
      <c r="AT55" s="1282"/>
      <c r="AU55" s="1282"/>
      <c r="AV55" s="1282"/>
      <c r="AW55" s="1282"/>
      <c r="AX55" s="1282"/>
      <c r="AY55" s="1282"/>
      <c r="AZ55" s="1282"/>
      <c r="BA55" s="1282"/>
      <c r="BB55" s="1282"/>
      <c r="BC55" s="1282"/>
      <c r="BD55" s="1282"/>
      <c r="BE55" s="1282"/>
      <c r="BF55" s="1282"/>
      <c r="BL55" s="10">
        <v>14</v>
      </c>
    </row>
    <row r="56" spans="1:64" ht="14.65" customHeight="1">
      <c r="O56" s="60"/>
      <c r="AJ56" s="10"/>
      <c r="AK56" s="10"/>
      <c r="AL56" s="10"/>
      <c r="AM56" s="10"/>
      <c r="AN56" s="10"/>
      <c r="AO56" s="10"/>
      <c r="AP56" s="10"/>
      <c r="AQ56" s="10"/>
      <c r="AR56" s="10"/>
      <c r="AS56" s="10"/>
      <c r="AT56" s="10"/>
      <c r="AU56" s="10"/>
      <c r="AV56" s="10"/>
      <c r="AW56" s="10"/>
      <c r="AX56" s="10"/>
      <c r="AY56" s="10"/>
      <c r="AZ56" s="10"/>
      <c r="BA56" s="10"/>
      <c r="BB56" s="10"/>
      <c r="BC56" s="10"/>
      <c r="BD56" s="10"/>
      <c r="BL56" s="10">
        <v>14</v>
      </c>
    </row>
    <row r="57" spans="1:64" ht="14.65" customHeight="1">
      <c r="O57" s="60"/>
      <c r="S57" s="195"/>
      <c r="T57" s="1282"/>
      <c r="U57" s="1282"/>
      <c r="V57" s="1282"/>
      <c r="W57" s="1282"/>
      <c r="X57" s="1282"/>
      <c r="Y57" s="1282"/>
      <c r="Z57" s="1282"/>
      <c r="AA57" s="1282"/>
      <c r="AB57" s="1282"/>
      <c r="AC57" s="1282"/>
      <c r="AD57" s="1282"/>
      <c r="AE57" s="1282"/>
      <c r="AF57" s="1282"/>
      <c r="AG57" s="1282"/>
      <c r="AH57" s="1282"/>
      <c r="AI57" s="1282"/>
      <c r="AJ57" s="1282"/>
      <c r="AK57" s="1282"/>
      <c r="AL57" s="1282"/>
      <c r="AM57" s="1282"/>
      <c r="AN57" s="1282"/>
      <c r="AO57" s="1282"/>
      <c r="AP57" s="1282"/>
      <c r="AQ57" s="1282"/>
      <c r="AR57" s="1282"/>
      <c r="AS57" s="1282"/>
      <c r="AT57" s="1282"/>
      <c r="AU57" s="1282"/>
      <c r="AV57" s="1282"/>
      <c r="AW57" s="1282"/>
      <c r="AX57" s="1282"/>
      <c r="AY57" s="1282"/>
      <c r="AZ57" s="1282"/>
      <c r="BA57" s="1282"/>
      <c r="BB57" s="1282"/>
      <c r="BC57" s="1282"/>
      <c r="BD57" s="1282"/>
      <c r="BE57" s="1282"/>
      <c r="BF57" s="1282"/>
      <c r="BL57" s="10">
        <v>14</v>
      </c>
    </row>
    <row r="58" spans="1:64" ht="22.5" hidden="1" customHeight="1">
      <c r="A58" s="60" t="s">
        <v>80</v>
      </c>
      <c r="B58" s="60">
        <v>0</v>
      </c>
      <c r="C58" s="60">
        <v>0</v>
      </c>
      <c r="D58" s="60">
        <v>0</v>
      </c>
      <c r="E58" s="60">
        <v>0</v>
      </c>
      <c r="F58" s="60">
        <v>0</v>
      </c>
      <c r="G58" s="60">
        <v>0</v>
      </c>
      <c r="H58" s="60">
        <v>0</v>
      </c>
      <c r="I58" s="60">
        <v>0</v>
      </c>
      <c r="J58" s="60">
        <v>0</v>
      </c>
      <c r="K58" s="60">
        <v>0</v>
      </c>
      <c r="L58" s="298">
        <v>0</v>
      </c>
      <c r="M58" s="503">
        <v>0</v>
      </c>
      <c r="N58" s="503">
        <v>0</v>
      </c>
      <c r="O58" s="503">
        <v>0</v>
      </c>
      <c r="P58" s="32">
        <v>3</v>
      </c>
      <c r="Q58" s="28">
        <v>3</v>
      </c>
      <c r="R58" s="28">
        <v>3</v>
      </c>
      <c r="S58" s="339">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0</v>
      </c>
      <c r="AK58" s="10">
        <v>0</v>
      </c>
      <c r="AL58" s="10">
        <v>0</v>
      </c>
      <c r="AM58" s="10">
        <v>0</v>
      </c>
      <c r="AN58" s="10">
        <v>0</v>
      </c>
      <c r="AO58" s="10">
        <v>0</v>
      </c>
      <c r="AP58" s="10">
        <v>0</v>
      </c>
      <c r="AQ58" s="10">
        <v>0</v>
      </c>
      <c r="AR58" s="10">
        <v>0</v>
      </c>
      <c r="AS58" s="10">
        <v>0</v>
      </c>
      <c r="AT58" s="10">
        <v>0</v>
      </c>
      <c r="AU58" s="10">
        <v>0</v>
      </c>
      <c r="AV58" s="10">
        <v>0</v>
      </c>
      <c r="AW58" s="10">
        <v>0</v>
      </c>
      <c r="AX58" s="10">
        <v>0</v>
      </c>
      <c r="AY58" s="10">
        <v>0</v>
      </c>
      <c r="AZ58" s="10">
        <v>0</v>
      </c>
      <c r="BA58" s="10">
        <v>0</v>
      </c>
      <c r="BB58" s="10">
        <v>0</v>
      </c>
      <c r="BC58" s="10">
        <v>0</v>
      </c>
      <c r="BD58" s="10">
        <v>0</v>
      </c>
      <c r="BE58" s="10">
        <v>4</v>
      </c>
      <c r="BF58" s="10">
        <v>115</v>
      </c>
      <c r="BG58" s="65">
        <v>10</v>
      </c>
      <c r="BH58" s="65">
        <v>10</v>
      </c>
      <c r="BI58" s="65">
        <v>10</v>
      </c>
      <c r="BJ58" s="65">
        <v>10</v>
      </c>
      <c r="BK58" s="65">
        <v>10</v>
      </c>
      <c r="BL58" s="10">
        <v>23</v>
      </c>
    </row>
  </sheetData>
  <sheetProtection formatColumns="0" formatRows="0" insertRows="0" deleteColumns="0" deleteRows="0" sort="0" autoFilter="0"/>
  <mergeCells count="164">
    <mergeCell ref="AX33:BC33"/>
    <mergeCell ref="AX35:BD35"/>
    <mergeCell ref="AX37:BC37"/>
    <mergeCell ref="BD37:BD39"/>
    <mergeCell ref="AY38:AZ38"/>
    <mergeCell ref="BA38:BC38"/>
    <mergeCell ref="BB39:BC39"/>
    <mergeCell ref="BB40:BC40"/>
    <mergeCell ref="BA46:BA47"/>
    <mergeCell ref="BB46:BB47"/>
    <mergeCell ref="BC46:BC47"/>
    <mergeCell ref="BD46:BD47"/>
    <mergeCell ref="BA7:BA8"/>
    <mergeCell ref="BB7:BB8"/>
    <mergeCell ref="BC7:BC8"/>
    <mergeCell ref="BD7:BD8"/>
    <mergeCell ref="AX27:BC27"/>
    <mergeCell ref="AX28:BC28"/>
    <mergeCell ref="AX29:BC29"/>
    <mergeCell ref="AX30:BC30"/>
    <mergeCell ref="AX32:BC32"/>
    <mergeCell ref="AW7:AW8"/>
    <mergeCell ref="AQ27:AV27"/>
    <mergeCell ref="AQ28:AV28"/>
    <mergeCell ref="AQ29:AV29"/>
    <mergeCell ref="AQ30:AV30"/>
    <mergeCell ref="AQ32:AV32"/>
    <mergeCell ref="AQ33:AV33"/>
    <mergeCell ref="AQ35:AW35"/>
    <mergeCell ref="AW37:AW39"/>
    <mergeCell ref="AR38:AS38"/>
    <mergeCell ref="AT38:AV38"/>
    <mergeCell ref="AU39:AV39"/>
    <mergeCell ref="AM38:AO38"/>
    <mergeCell ref="AN39:AO39"/>
    <mergeCell ref="AN40:AO40"/>
    <mergeCell ref="AM46:AM47"/>
    <mergeCell ref="AN46:AN47"/>
    <mergeCell ref="AO46:AO47"/>
    <mergeCell ref="AP46:AP47"/>
    <mergeCell ref="AT7:AT8"/>
    <mergeCell ref="AU7:AU8"/>
    <mergeCell ref="AQ37:AV37"/>
    <mergeCell ref="AV7:AV8"/>
    <mergeCell ref="AU40:AV40"/>
    <mergeCell ref="AT46:AT47"/>
    <mergeCell ref="AU46:AU47"/>
    <mergeCell ref="AV46:AV47"/>
    <mergeCell ref="T55:BF55"/>
    <mergeCell ref="T57:BF57"/>
    <mergeCell ref="V35:AB35"/>
    <mergeCell ref="S32:T32"/>
    <mergeCell ref="V32:AA32"/>
    <mergeCell ref="AC32:AH32"/>
    <mergeCell ref="S33:T33"/>
    <mergeCell ref="V33:AA33"/>
    <mergeCell ref="AC33:AH33"/>
    <mergeCell ref="AC35:AI35"/>
    <mergeCell ref="Z40:AA40"/>
    <mergeCell ref="AG40:AH40"/>
    <mergeCell ref="S36:BE36"/>
    <mergeCell ref="BF36:BF39"/>
    <mergeCell ref="S37:S39"/>
    <mergeCell ref="T37:T39"/>
    <mergeCell ref="V37:AA37"/>
    <mergeCell ref="AB37:AB39"/>
    <mergeCell ref="AG46:AG47"/>
    <mergeCell ref="AH46:AH47"/>
    <mergeCell ref="AI46:AI47"/>
    <mergeCell ref="BE37:BE39"/>
    <mergeCell ref="AC37:AH37"/>
    <mergeCell ref="W38:X38"/>
    <mergeCell ref="S29:T29"/>
    <mergeCell ref="F3:F12"/>
    <mergeCell ref="V3:AB3"/>
    <mergeCell ref="AC3:BE3"/>
    <mergeCell ref="G4:G11"/>
    <mergeCell ref="V4:AB4"/>
    <mergeCell ref="AC4:BE4"/>
    <mergeCell ref="H5:H11"/>
    <mergeCell ref="I5:I10"/>
    <mergeCell ref="P5:P10"/>
    <mergeCell ref="V5:AB5"/>
    <mergeCell ref="AC5:BE5"/>
    <mergeCell ref="J6:J9"/>
    <mergeCell ref="Q6:Q9"/>
    <mergeCell ref="K7:K8"/>
    <mergeCell ref="Y7:Y8"/>
    <mergeCell ref="V6:AB6"/>
    <mergeCell ref="AC6:BE6"/>
    <mergeCell ref="AC28:AH28"/>
    <mergeCell ref="Z7:Z8"/>
    <mergeCell ref="AA7:AA8"/>
    <mergeCell ref="AB7:AB8"/>
    <mergeCell ref="AF7:AF8"/>
    <mergeCell ref="AM7:AM8"/>
    <mergeCell ref="BF7:BF8"/>
    <mergeCell ref="AF15:AF16"/>
    <mergeCell ref="AG15:AG16"/>
    <mergeCell ref="AH15:AH16"/>
    <mergeCell ref="AI15:AI16"/>
    <mergeCell ref="Z46:Z47"/>
    <mergeCell ref="AC45:BE45"/>
    <mergeCell ref="AA46:AA47"/>
    <mergeCell ref="AB46:AB47"/>
    <mergeCell ref="AF46:AF47"/>
    <mergeCell ref="BF46:BF47"/>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E2:E13"/>
    <mergeCell ref="V2:AB2"/>
    <mergeCell ref="AC2:BE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BE41"/>
    <mergeCell ref="F42:F51"/>
    <mergeCell ref="V42:AB42"/>
    <mergeCell ref="AC42:BE42"/>
    <mergeCell ref="G43:G50"/>
    <mergeCell ref="V43:AB43"/>
    <mergeCell ref="AC43:BE43"/>
    <mergeCell ref="H44:H50"/>
    <mergeCell ref="I44:I49"/>
    <mergeCell ref="P44:P49"/>
    <mergeCell ref="V44:AB44"/>
    <mergeCell ref="AC44:BE44"/>
    <mergeCell ref="J45:J48"/>
    <mergeCell ref="Q45:Q48"/>
    <mergeCell ref="V45:AB45"/>
    <mergeCell ref="K46:K47"/>
    <mergeCell ref="Y46:Y47"/>
    <mergeCell ref="AW46:AW47"/>
  </mergeCells>
  <dataValidations count="8">
    <dataValidation allowBlank="1" sqref="S131116:BF131122 S196652:BF196658 S262188:BF262194 S327724:BF327730 S393260:BF393266 S458796:BF458802 S524332:BF524338 S589868:BF589874 S655404:BF655410 S720940:BF720946 S786476:BF786482 S852012:BF852018 S917548:BF917554 S983084:BF983090 S65580:BF65586"/>
    <dataValidation type="list" allowBlank="1" showInputMessage="1" errorTitle="Ошибка" error="Выберите значение из списка" prompt="Выберите значение из списка" sqref="V983081:BE983081 V65577:BE65577 V131113:BE131113 V196649:BE196649 V262185:BE262185 V327721:BE327721 V393257:BE393257 V458793:BE458793 V524329:BE524329 V589865:BE589865 V655401:BE655401 V720937:BE720937 V786473:BE786473 V852009:BE852009 V917545:BE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AL8 AL47 AS8 AS47 AZ8 AZ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BF65572:BF65579 BF131108:BF131115 BF196644:BF196651 BF262180:BF262187 BF327716:BF327723 BF393252:BF393259 BF458788:BF458795 BF524324:BF524331 BF589860:BF589867 BF655396:BF655403 BF720932:BF720939 BF786468:BF786475 BF852004:BF852011 BF917540:BF917547 BF983076:BF983083 T46 T7 AC44:AI44 BE44 AC5:AI5 BE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AM7 AO7 AM46 AO46 AT7 AV7 AT46 AV46 BA7 BC7 BA46 BC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N46 AP46 AU46 AW46 BB46 BD46 AI524330:BD524330 AI196650:BD196650 AI589866:BD589866 AI655402:BD655402 AI15 AI720938:BD720938 AI786474:BD786474 AI852010:BD852010 AI917546:BD917546 AI983082:BD983082 AI65578:BD65578 AI131114:BD131114 AI458794:BD458794 AI262186:BD262186 AG46 AI7 AN7 AP7 AU7 AW7 BB7 BD7 Z46 AB46 AG15 AG7 Z7 AB7 AI327722:BD327722 AI393258:BD393258"/>
  </dataValidations>
  <pageMargins left="0.11811023622047245" right="0" top="0.74803149606299213" bottom="0.74803149606299213" header="0.31496062992125984" footer="0.31496062992125984"/>
  <pageSetup scale="40" orientation="landscape" r:id="rId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8" hidden="1" customWidth="1"/>
    <col min="13" max="14" width="12.28515625" style="503" hidden="1" customWidth="1"/>
    <col min="15" max="15" width="23.42578125" style="503" hidden="1" customWidth="1"/>
    <col min="16" max="16" width="3" style="32" customWidth="1"/>
    <col min="17" max="18" width="3" style="28" customWidth="1"/>
    <col min="19" max="19" width="12" style="339"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66"/>
      <c r="B2" s="766"/>
      <c r="C2" s="766"/>
      <c r="D2" s="766"/>
      <c r="E2" s="1283">
        <v>1</v>
      </c>
      <c r="F2" s="766"/>
      <c r="G2" s="766"/>
      <c r="H2" s="766"/>
      <c r="I2" s="766"/>
      <c r="J2" s="766"/>
      <c r="K2" s="766"/>
      <c r="L2" s="767"/>
      <c r="M2" s="423"/>
      <c r="N2" s="423"/>
      <c r="O2" s="423"/>
      <c r="Q2" s="33"/>
      <c r="R2" s="204"/>
      <c r="S2" s="706" t="e">
        <f>INDEX(PT_DIFFERENTIATION_NUM_NTAR,MATCH(A2,PT_DIFFERENTIATION_NTAR_ID,0))</f>
        <v>#N/A</v>
      </c>
      <c r="T2" s="64" t="s">
        <v>121</v>
      </c>
      <c r="U2" s="168"/>
      <c r="V2" s="1277"/>
      <c r="W2" s="1278"/>
      <c r="X2" s="1278"/>
      <c r="Y2" s="1278"/>
      <c r="Z2" s="1278"/>
      <c r="AA2" s="1278"/>
      <c r="AB2" s="1279"/>
      <c r="AC2" s="1277" t="e">
        <f>INDEX(PT_DIFFERENTIATION_NTAR,MATCH(A2,PT_DIFFERENTIATION_NTAR_ID,0))</f>
        <v>#N/A</v>
      </c>
      <c r="AD2" s="1278"/>
      <c r="AE2" s="1278"/>
      <c r="AF2" s="1278"/>
      <c r="AG2" s="1278"/>
      <c r="AH2" s="1278"/>
      <c r="AI2" s="1278"/>
      <c r="AJ2" s="1279"/>
      <c r="AK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66"/>
      <c r="B3" s="766"/>
      <c r="C3" s="766"/>
      <c r="D3" s="766"/>
      <c r="E3" s="1284"/>
      <c r="F3" s="1283">
        <v>1</v>
      </c>
      <c r="G3" s="766"/>
      <c r="H3" s="766"/>
      <c r="I3" s="766"/>
      <c r="J3" s="766"/>
      <c r="K3" s="766"/>
      <c r="L3" s="767"/>
      <c r="M3" s="423"/>
      <c r="N3" s="423"/>
      <c r="O3" s="423"/>
      <c r="P3" s="56"/>
      <c r="Q3" s="201"/>
      <c r="R3" s="202"/>
      <c r="S3" s="706" t="e">
        <f>INDEX(PT_DIFFERENTIATION_NUM_TER,MATCH(B3,PT_DIFFERENTIATION_TER_ID,0))</f>
        <v>#N/A</v>
      </c>
      <c r="T3" s="174" t="s">
        <v>397</v>
      </c>
      <c r="U3" s="168"/>
      <c r="V3" s="1277"/>
      <c r="W3" s="1278"/>
      <c r="X3" s="1278"/>
      <c r="Y3" s="1278"/>
      <c r="Z3" s="1278"/>
      <c r="AA3" s="1278"/>
      <c r="AB3" s="1279"/>
      <c r="AC3" s="1277" t="e">
        <f>INDEX(PT_DIFFERENTIATION_TER,MATCH(B3,PT_DIFFERENTIATION_TER_ID,0))</f>
        <v>#N/A</v>
      </c>
      <c r="AD3" s="1278"/>
      <c r="AE3" s="1278"/>
      <c r="AF3" s="1278"/>
      <c r="AG3" s="1278"/>
      <c r="AH3" s="1278"/>
      <c r="AI3" s="1278"/>
      <c r="AJ3" s="1279"/>
      <c r="AK3" s="726" t="s">
        <v>398</v>
      </c>
      <c r="AM3" s="66"/>
      <c r="AN3" s="66" t="str">
        <f t="shared" si="0"/>
        <v>Территория действия тарифа</v>
      </c>
      <c r="AO3" s="66"/>
      <c r="AP3" s="66"/>
      <c r="AQ3" s="10">
        <v>0</v>
      </c>
    </row>
    <row r="4" spans="1:43" ht="23.25" hidden="1" customHeight="1">
      <c r="A4" s="766"/>
      <c r="B4" s="766"/>
      <c r="C4" s="766"/>
      <c r="D4" s="766"/>
      <c r="E4" s="1284"/>
      <c r="F4" s="1284"/>
      <c r="G4" s="1283">
        <v>1</v>
      </c>
      <c r="H4" s="766"/>
      <c r="I4" s="766"/>
      <c r="J4" s="766"/>
      <c r="K4" s="766"/>
      <c r="L4" s="767"/>
      <c r="M4" s="423"/>
      <c r="N4" s="423"/>
      <c r="O4" s="423"/>
      <c r="P4" s="203"/>
      <c r="Q4" s="201"/>
      <c r="R4" s="202"/>
      <c r="S4" s="706" t="e">
        <f>INDEX(PT_DIFFERENTIATION_NUM_CS,MATCH(C4,PT_DIFFERENTIATION_CS_ID,0))</f>
        <v>#N/A</v>
      </c>
      <c r="T4" s="175" t="s">
        <v>478</v>
      </c>
      <c r="U4" s="168"/>
      <c r="V4" s="1277"/>
      <c r="W4" s="1278"/>
      <c r="X4" s="1278"/>
      <c r="Y4" s="1278"/>
      <c r="Z4" s="1278"/>
      <c r="AA4" s="1278"/>
      <c r="AB4" s="1279"/>
      <c r="AC4" s="1277" t="e">
        <f>INDEX(PT_DIFFERENTIATION_CS,MATCH(C4,PT_DIFFERENTIATION_CS_ID,0))</f>
        <v>#N/A</v>
      </c>
      <c r="AD4" s="1278"/>
      <c r="AE4" s="1278"/>
      <c r="AF4" s="1278"/>
      <c r="AG4" s="1278"/>
      <c r="AH4" s="1278"/>
      <c r="AI4" s="1278"/>
      <c r="AJ4" s="1279"/>
      <c r="AK4" s="726" t="s">
        <v>479</v>
      </c>
      <c r="AM4" s="66"/>
      <c r="AN4" s="66" t="str">
        <f t="shared" si="0"/>
        <v>Наименование централизованной системы холодного водоснабжения</v>
      </c>
      <c r="AO4" s="66"/>
      <c r="AP4" s="66"/>
      <c r="AQ4" s="10">
        <v>0</v>
      </c>
    </row>
    <row r="5" spans="1:43" ht="23.25" hidden="1" customHeight="1">
      <c r="A5" s="766"/>
      <c r="B5" s="766"/>
      <c r="C5" s="766"/>
      <c r="D5" s="766"/>
      <c r="E5" s="1284"/>
      <c r="F5" s="1284"/>
      <c r="G5" s="1284"/>
      <c r="H5" s="1284"/>
      <c r="I5" s="1285" t="e">
        <f>S4&amp;".1"</f>
        <v>#N/A</v>
      </c>
      <c r="J5" s="766"/>
      <c r="K5" s="766"/>
      <c r="L5" s="767"/>
      <c r="P5" s="1287">
        <v>1</v>
      </c>
      <c r="Q5" s="119"/>
      <c r="R5" s="205"/>
      <c r="S5" s="706" t="e">
        <f>$I5</f>
        <v>#N/A</v>
      </c>
      <c r="T5" s="161" t="s">
        <v>480</v>
      </c>
      <c r="U5" s="168"/>
      <c r="V5" s="1351"/>
      <c r="W5" s="1352"/>
      <c r="X5" s="1352"/>
      <c r="Y5" s="1352"/>
      <c r="Z5" s="1352"/>
      <c r="AA5" s="1352"/>
      <c r="AB5" s="1353"/>
      <c r="AC5" s="1354"/>
      <c r="AD5" s="1355"/>
      <c r="AE5" s="1355"/>
      <c r="AF5" s="1355"/>
      <c r="AG5" s="1355"/>
      <c r="AH5" s="1355"/>
      <c r="AI5" s="1355"/>
      <c r="AJ5" s="1356"/>
      <c r="AK5" s="726" t="s">
        <v>481</v>
      </c>
      <c r="AM5" s="66"/>
      <c r="AN5" s="66" t="str">
        <f t="shared" si="0"/>
        <v>Наименование признака дифференциации</v>
      </c>
      <c r="AO5" s="66"/>
      <c r="AP5" s="66"/>
      <c r="AQ5" s="10">
        <v>0</v>
      </c>
    </row>
    <row r="6" spans="1:43" ht="23.25" hidden="1" customHeight="1">
      <c r="A6" s="766"/>
      <c r="B6" s="766"/>
      <c r="C6" s="766"/>
      <c r="D6" s="766"/>
      <c r="E6" s="1284"/>
      <c r="F6" s="1284"/>
      <c r="G6" s="1284"/>
      <c r="H6" s="1284"/>
      <c r="I6" s="1286"/>
      <c r="J6" s="1285" t="e">
        <f>I5&amp;".1"</f>
        <v>#N/A</v>
      </c>
      <c r="K6" s="766"/>
      <c r="L6" s="767" t="s">
        <v>406</v>
      </c>
      <c r="P6" s="1287"/>
      <c r="Q6" s="1287">
        <v>1</v>
      </c>
      <c r="R6" s="206"/>
      <c r="S6" s="706" t="e">
        <f>$J6</f>
        <v>#N/A</v>
      </c>
      <c r="T6" s="162" t="s">
        <v>407</v>
      </c>
      <c r="U6" s="168"/>
      <c r="V6" s="1271"/>
      <c r="W6" s="1272"/>
      <c r="X6" s="1272"/>
      <c r="Y6" s="1272"/>
      <c r="Z6" s="1272"/>
      <c r="AA6" s="1272"/>
      <c r="AB6" s="1273"/>
      <c r="AC6" s="1271"/>
      <c r="AD6" s="1272"/>
      <c r="AE6" s="1272"/>
      <c r="AF6" s="1272"/>
      <c r="AG6" s="1272"/>
      <c r="AH6" s="1272"/>
      <c r="AI6" s="1272"/>
      <c r="AJ6" s="1273"/>
      <c r="AK6" s="750" t="s">
        <v>482</v>
      </c>
      <c r="AM6" s="66"/>
      <c r="AN6" s="66" t="str">
        <f t="shared" si="0"/>
        <v>Группа потребителей</v>
      </c>
      <c r="AO6" s="66"/>
      <c r="AP6" s="66"/>
      <c r="AQ6" s="10">
        <v>0</v>
      </c>
    </row>
    <row r="7" spans="1:43" ht="23.25" hidden="1" customHeight="1">
      <c r="A7" s="766"/>
      <c r="B7" s="766"/>
      <c r="C7" s="766"/>
      <c r="D7" s="766"/>
      <c r="E7" s="1284"/>
      <c r="F7" s="1284"/>
      <c r="G7" s="1284"/>
      <c r="H7" s="1284"/>
      <c r="I7" s="1286"/>
      <c r="J7" s="1286"/>
      <c r="K7" s="1285" t="e">
        <f>J6&amp;".1"</f>
        <v>#N/A</v>
      </c>
      <c r="L7" s="767"/>
      <c r="P7" s="1287"/>
      <c r="Q7" s="1287"/>
      <c r="R7" s="206">
        <v>1</v>
      </c>
      <c r="S7" s="706" t="e">
        <f>$K7</f>
        <v>#N/A</v>
      </c>
      <c r="T7" s="810"/>
      <c r="U7" s="168"/>
      <c r="V7" s="303"/>
      <c r="W7" s="303"/>
      <c r="X7" s="725"/>
      <c r="Y7" s="1288"/>
      <c r="Z7" s="1156" t="s">
        <v>64</v>
      </c>
      <c r="AA7" s="1288"/>
      <c r="AB7" s="1156" t="s">
        <v>64</v>
      </c>
      <c r="AC7" s="303"/>
      <c r="AD7" s="303"/>
      <c r="AE7" s="725"/>
      <c r="AF7" s="1288"/>
      <c r="AG7" s="1156" t="s">
        <v>64</v>
      </c>
      <c r="AH7" s="1290"/>
      <c r="AI7" s="1156" t="s">
        <v>64</v>
      </c>
      <c r="AJ7" s="811"/>
      <c r="AK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66"/>
      <c r="B8" s="766"/>
      <c r="C8" s="766"/>
      <c r="D8" s="766"/>
      <c r="E8" s="1284"/>
      <c r="F8" s="1284"/>
      <c r="G8" s="1284"/>
      <c r="H8" s="1284"/>
      <c r="I8" s="1286"/>
      <c r="J8" s="1286"/>
      <c r="K8" s="1285"/>
      <c r="L8" s="767"/>
      <c r="P8" s="1287"/>
      <c r="Q8" s="1287"/>
      <c r="R8" s="206"/>
      <c r="S8" s="62"/>
      <c r="T8" s="168"/>
      <c r="U8" s="168"/>
      <c r="V8" s="188"/>
      <c r="W8" s="188"/>
      <c r="X8" s="189" t="str">
        <f>Y7&amp;"-"&amp;AA7</f>
        <v>-</v>
      </c>
      <c r="Y8" s="1289"/>
      <c r="Z8" s="1156"/>
      <c r="AA8" s="1289"/>
      <c r="AB8" s="1156"/>
      <c r="AC8" s="188"/>
      <c r="AD8" s="188"/>
      <c r="AE8" s="189" t="str">
        <f>AF7&amp;"-"&amp;AH7</f>
        <v>-</v>
      </c>
      <c r="AF8" s="1289"/>
      <c r="AG8" s="1156"/>
      <c r="AH8" s="1291"/>
      <c r="AI8" s="1156"/>
      <c r="AJ8" s="385"/>
      <c r="AK8" s="1357"/>
      <c r="AM8" s="66"/>
      <c r="AN8" s="66" t="str">
        <f t="shared" si="0"/>
        <v/>
      </c>
      <c r="AO8" s="66"/>
      <c r="AP8" s="66"/>
      <c r="AQ8" s="10">
        <v>0</v>
      </c>
    </row>
    <row r="9" spans="1:43" ht="21" hidden="1" customHeight="1">
      <c r="A9" s="766"/>
      <c r="B9" s="766"/>
      <c r="C9" s="766"/>
      <c r="D9" s="766"/>
      <c r="E9" s="1284"/>
      <c r="F9" s="1284"/>
      <c r="G9" s="1284"/>
      <c r="H9" s="1284"/>
      <c r="I9" s="1286"/>
      <c r="J9" s="1285"/>
      <c r="K9" s="766"/>
      <c r="L9" s="767"/>
      <c r="P9" s="1287"/>
      <c r="Q9" s="1287"/>
      <c r="R9" s="205"/>
      <c r="S9" s="739"/>
      <c r="T9" s="163" t="s">
        <v>483</v>
      </c>
      <c r="U9" s="210"/>
      <c r="V9" s="210"/>
      <c r="W9" s="210"/>
      <c r="X9" s="210"/>
      <c r="Y9" s="210"/>
      <c r="Z9" s="210"/>
      <c r="AA9" s="210"/>
      <c r="AB9" s="210"/>
      <c r="AC9" s="210"/>
      <c r="AD9" s="210"/>
      <c r="AE9" s="210"/>
      <c r="AF9" s="210"/>
      <c r="AG9" s="210"/>
      <c r="AH9" s="210"/>
      <c r="AI9" s="210"/>
      <c r="AJ9" s="210"/>
      <c r="AK9" s="726" t="s">
        <v>484</v>
      </c>
      <c r="AM9" s="66"/>
      <c r="AN9" s="66" t="str">
        <f t="shared" si="0"/>
        <v>Добавить значение признака дифференциации</v>
      </c>
      <c r="AO9" s="66"/>
      <c r="AP9" s="66"/>
      <c r="AQ9" s="10">
        <v>0</v>
      </c>
    </row>
    <row r="10" spans="1:43" ht="21" hidden="1" customHeight="1">
      <c r="A10" s="766"/>
      <c r="B10" s="766"/>
      <c r="C10" s="766"/>
      <c r="D10" s="766"/>
      <c r="E10" s="1284"/>
      <c r="F10" s="1284"/>
      <c r="G10" s="1284"/>
      <c r="H10" s="1284"/>
      <c r="I10" s="1285"/>
      <c r="J10" s="766"/>
      <c r="K10" s="766"/>
      <c r="L10" s="767"/>
      <c r="P10" s="1287"/>
      <c r="Q10" s="119"/>
      <c r="R10" s="205"/>
      <c r="S10" s="739"/>
      <c r="T10" s="208" t="s">
        <v>412</v>
      </c>
      <c r="U10" s="210"/>
      <c r="V10" s="210"/>
      <c r="W10" s="210"/>
      <c r="X10" s="210"/>
      <c r="Y10" s="210"/>
      <c r="Z10" s="210"/>
      <c r="AA10" s="210"/>
      <c r="AB10" s="209"/>
      <c r="AC10" s="210"/>
      <c r="AD10" s="210"/>
      <c r="AE10" s="210"/>
      <c r="AF10" s="210"/>
      <c r="AG10" s="210"/>
      <c r="AH10" s="210"/>
      <c r="AI10" s="209"/>
      <c r="AJ10" s="210"/>
      <c r="AK10" s="812"/>
      <c r="AM10" s="66"/>
      <c r="AN10" s="66" t="str">
        <f t="shared" si="0"/>
        <v>Добавить группу потребителей</v>
      </c>
      <c r="AO10" s="66"/>
      <c r="AP10" s="66"/>
      <c r="AQ10" s="10">
        <v>0</v>
      </c>
    </row>
    <row r="11" spans="1:43" ht="21" hidden="1" customHeight="1">
      <c r="A11" s="766"/>
      <c r="B11" s="766"/>
      <c r="C11" s="766"/>
      <c r="D11" s="766"/>
      <c r="E11" s="1284"/>
      <c r="F11" s="1284"/>
      <c r="G11" s="1284"/>
      <c r="H11" s="1283"/>
      <c r="I11" s="766"/>
      <c r="J11" s="766"/>
      <c r="K11" s="766"/>
      <c r="L11" s="767"/>
      <c r="M11" s="423"/>
      <c r="N11" s="423"/>
      <c r="O11" s="60"/>
      <c r="P11" s="33"/>
      <c r="Q11" s="213"/>
      <c r="R11" s="204"/>
      <c r="S11" s="739"/>
      <c r="T11" s="104" t="s">
        <v>485</v>
      </c>
      <c r="U11" s="210"/>
      <c r="V11" s="210"/>
      <c r="W11" s="210"/>
      <c r="X11" s="210"/>
      <c r="Y11" s="210"/>
      <c r="Z11" s="210"/>
      <c r="AA11" s="210"/>
      <c r="AB11" s="209"/>
      <c r="AC11" s="210"/>
      <c r="AD11" s="210"/>
      <c r="AE11" s="210"/>
      <c r="AF11" s="210"/>
      <c r="AG11" s="210"/>
      <c r="AH11" s="210"/>
      <c r="AI11" s="209"/>
      <c r="AJ11" s="210"/>
      <c r="AK11" s="171"/>
      <c r="AM11" s="66"/>
      <c r="AN11" s="66" t="str">
        <f t="shared" si="0"/>
        <v>Добавить наименование признака дифференциации</v>
      </c>
      <c r="AO11" s="66"/>
      <c r="AP11" s="66"/>
      <c r="AQ11" s="10">
        <v>0</v>
      </c>
    </row>
    <row r="12" spans="1:43" s="65" customFormat="1" ht="14.25" hidden="1" customHeight="1">
      <c r="A12" s="142"/>
      <c r="B12" s="142"/>
      <c r="C12" s="142"/>
      <c r="D12" s="142"/>
      <c r="E12" s="1284"/>
      <c r="F12" s="1283"/>
      <c r="G12" s="142"/>
      <c r="H12" s="142"/>
      <c r="I12" s="142"/>
      <c r="J12" s="142"/>
      <c r="K12" s="142"/>
      <c r="L12" s="343"/>
      <c r="M12" s="756"/>
      <c r="N12" s="756"/>
      <c r="P12" s="101"/>
      <c r="Q12" s="752"/>
      <c r="R12" s="101"/>
      <c r="S12" s="757"/>
      <c r="T12" s="759" t="s">
        <v>231</v>
      </c>
      <c r="U12" s="310"/>
      <c r="V12" s="310"/>
      <c r="W12" s="310"/>
      <c r="X12" s="310"/>
      <c r="Y12" s="310"/>
      <c r="Z12" s="310"/>
      <c r="AA12" s="310"/>
      <c r="AB12" s="310"/>
      <c r="AC12" s="310"/>
      <c r="AD12" s="310"/>
      <c r="AE12" s="310"/>
      <c r="AF12" s="310"/>
      <c r="AG12" s="310"/>
      <c r="AH12" s="310"/>
      <c r="AI12" s="310"/>
      <c r="AJ12" s="310"/>
      <c r="AK12" s="310"/>
      <c r="AM12" s="66"/>
      <c r="AN12" s="66" t="str">
        <f t="shared" si="0"/>
        <v>Добавить централизованную систему для дифференциации</v>
      </c>
      <c r="AO12" s="66"/>
      <c r="AP12" s="66"/>
      <c r="AQ12" s="65">
        <v>0</v>
      </c>
    </row>
    <row r="13" spans="1:43" s="65" customFormat="1" ht="14.25" hidden="1" customHeight="1">
      <c r="A13" s="142"/>
      <c r="B13" s="142"/>
      <c r="C13" s="142"/>
      <c r="D13" s="142"/>
      <c r="E13" s="1283"/>
      <c r="F13" s="142"/>
      <c r="G13" s="142"/>
      <c r="H13" s="142"/>
      <c r="I13" s="142"/>
      <c r="J13" s="142"/>
      <c r="K13" s="142"/>
      <c r="L13" s="343"/>
      <c r="M13" s="756"/>
      <c r="N13" s="756"/>
      <c r="P13" s="101"/>
      <c r="Q13" s="752"/>
      <c r="R13" s="101"/>
      <c r="S13" s="757"/>
      <c r="T13" s="759" t="s">
        <v>232</v>
      </c>
      <c r="U13" s="310"/>
      <c r="V13" s="310"/>
      <c r="W13" s="310"/>
      <c r="X13" s="310"/>
      <c r="Y13" s="310"/>
      <c r="Z13" s="310"/>
      <c r="AA13" s="310"/>
      <c r="AB13" s="310"/>
      <c r="AC13" s="310"/>
      <c r="AD13" s="310"/>
      <c r="AE13" s="310"/>
      <c r="AF13" s="310"/>
      <c r="AG13" s="310"/>
      <c r="AH13" s="310"/>
      <c r="AI13" s="310"/>
      <c r="AJ13" s="310"/>
      <c r="AK13" s="310"/>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5"/>
      <c r="AD15" s="365"/>
      <c r="AE15" s="765"/>
      <c r="AF15" s="1281"/>
      <c r="AG15" s="1280" t="s">
        <v>64</v>
      </c>
      <c r="AH15" s="1281"/>
      <c r="AI15" s="1280" t="s">
        <v>64</v>
      </c>
      <c r="AQ15" s="10">
        <v>0</v>
      </c>
    </row>
    <row r="16" spans="1:43" ht="14.25" hidden="1" customHeight="1">
      <c r="AC16" s="365"/>
      <c r="AD16" s="365"/>
      <c r="AE16" s="189" t="str">
        <f>AF15&amp;"-"&amp;AH15</f>
        <v>-</v>
      </c>
      <c r="AF16" s="1280"/>
      <c r="AG16" s="1280"/>
      <c r="AH16" s="1280"/>
      <c r="AI16" s="1280"/>
      <c r="AQ16" s="10">
        <v>0</v>
      </c>
    </row>
    <row r="17" spans="1:43" ht="14.25" hidden="1" customHeight="1">
      <c r="AQ17" s="10">
        <v>0</v>
      </c>
    </row>
    <row r="18" spans="1:43" s="60" customFormat="1" ht="22.5" hidden="1" customHeight="1">
      <c r="L18" s="298"/>
      <c r="M18" s="503"/>
      <c r="N18" s="503"/>
      <c r="O18" s="768" t="s">
        <v>415</v>
      </c>
      <c r="P18" s="503"/>
      <c r="Q18" s="769"/>
      <c r="R18" s="769"/>
      <c r="S18" s="423"/>
      <c r="Y18" s="768"/>
      <c r="AA18" s="768"/>
      <c r="AF18" s="768"/>
      <c r="AH18" s="768"/>
      <c r="AL18" s="65"/>
      <c r="AM18" s="65"/>
      <c r="AN18" s="65"/>
      <c r="AO18" s="65"/>
      <c r="AP18" s="65"/>
      <c r="AQ18" s="60">
        <v>0</v>
      </c>
    </row>
    <row r="19" spans="1:43" s="60" customFormat="1" ht="14.25" hidden="1" customHeight="1">
      <c r="L19" s="298"/>
      <c r="M19" s="503"/>
      <c r="N19" s="503"/>
      <c r="O19" s="503"/>
      <c r="P19" s="503"/>
      <c r="Q19" s="769"/>
      <c r="R19" s="769"/>
      <c r="S19" s="423"/>
      <c r="AL19" s="65"/>
      <c r="AM19" s="65"/>
      <c r="AN19" s="65"/>
      <c r="AO19" s="65"/>
      <c r="AP19" s="65"/>
      <c r="AQ19" s="60">
        <v>0</v>
      </c>
    </row>
    <row r="20" spans="1:43" s="60" customFormat="1" ht="12" hidden="1" customHeight="1">
      <c r="L20" s="298"/>
      <c r="M20" s="503"/>
      <c r="N20" s="503"/>
      <c r="O20" s="767" t="s">
        <v>416</v>
      </c>
      <c r="P20" s="503"/>
      <c r="Q20" s="813"/>
      <c r="R20" s="813"/>
      <c r="S20" s="423"/>
      <c r="T20" s="60" t="s">
        <v>417</v>
      </c>
      <c r="Z20" s="79" t="s">
        <v>418</v>
      </c>
      <c r="AB20" s="79" t="s">
        <v>419</v>
      </c>
      <c r="AC20" s="60" t="s">
        <v>417</v>
      </c>
      <c r="AG20" s="79" t="s">
        <v>420</v>
      </c>
      <c r="AI20" s="79" t="s">
        <v>419</v>
      </c>
      <c r="AQ20" s="60">
        <v>0</v>
      </c>
    </row>
    <row r="21" spans="1:43" ht="14.25" hidden="1" customHeight="1">
      <c r="O21" s="767"/>
      <c r="AQ21" s="10">
        <v>0</v>
      </c>
    </row>
    <row r="22" spans="1:43" ht="14.25" hidden="1" customHeight="1">
      <c r="O22" s="767"/>
      <c r="AQ22" s="10">
        <v>0</v>
      </c>
    </row>
    <row r="23" spans="1:43" ht="14.65" customHeight="1">
      <c r="Q23" s="27"/>
      <c r="R23" s="27"/>
      <c r="S23" s="736"/>
      <c r="T23" s="9"/>
      <c r="U23" s="9"/>
      <c r="AQ23" s="10">
        <v>14</v>
      </c>
    </row>
    <row r="24" spans="1:43" ht="14.65" customHeight="1">
      <c r="Q24" s="27"/>
      <c r="R24" s="27"/>
      <c r="S24" s="12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4"/>
      <c r="U24" s="1264"/>
      <c r="V24" s="1264"/>
      <c r="W24" s="1264"/>
      <c r="X24" s="1264"/>
      <c r="Y24" s="1264"/>
      <c r="Z24" s="1264"/>
      <c r="AA24" s="1264"/>
      <c r="AB24" s="1264"/>
      <c r="AC24" s="1264"/>
      <c r="AD24" s="1264"/>
      <c r="AE24" s="1264"/>
      <c r="AF24" s="1264"/>
      <c r="AG24" s="1264"/>
      <c r="AH24" s="1264"/>
      <c r="AI24" s="57"/>
      <c r="AQ24" s="10">
        <v>14</v>
      </c>
    </row>
    <row r="25" spans="1:43" ht="14.65" customHeight="1">
      <c r="Q25" s="27"/>
      <c r="R25" s="27"/>
      <c r="S25" s="1236" t="str">
        <f>IF(org=0,"Не определено",org)</f>
        <v>Общество с ограниченной ответственностью "Березовский рудник"</v>
      </c>
      <c r="T25" s="1236"/>
      <c r="U25" s="1236"/>
      <c r="V25" s="1236"/>
      <c r="W25" s="1236"/>
      <c r="X25" s="1236"/>
      <c r="Y25" s="1236"/>
      <c r="Z25" s="1236"/>
      <c r="AA25" s="1236"/>
      <c r="AB25" s="1236"/>
      <c r="AC25" s="1236"/>
      <c r="AD25" s="1236"/>
      <c r="AE25" s="1236"/>
      <c r="AF25" s="1236"/>
      <c r="AG25" s="1236"/>
      <c r="AH25" s="1236"/>
      <c r="AI25" s="57"/>
      <c r="AQ25" s="10">
        <v>14</v>
      </c>
    </row>
    <row r="26" spans="1:43" ht="14.25" hidden="1" customHeight="1">
      <c r="Q26" s="27"/>
      <c r="R26" s="27"/>
      <c r="S26" s="736"/>
      <c r="T26" s="9"/>
      <c r="U26" s="9"/>
      <c r="V26" s="186"/>
      <c r="W26" s="186"/>
      <c r="X26" s="186"/>
      <c r="Y26" s="186"/>
      <c r="Z26" s="186"/>
      <c r="AA26" s="186"/>
      <c r="AB26" s="186"/>
      <c r="AC26" s="186"/>
      <c r="AD26" s="186"/>
      <c r="AE26" s="186"/>
      <c r="AF26" s="186"/>
      <c r="AG26" s="186"/>
      <c r="AH26" s="186"/>
      <c r="AI26" s="186"/>
      <c r="AQ26" s="10">
        <v>0</v>
      </c>
    </row>
    <row r="27" spans="1:43" s="34" customFormat="1" ht="25.5" hidden="1" customHeight="1">
      <c r="A27" s="79"/>
      <c r="B27" s="79"/>
      <c r="C27" s="79"/>
      <c r="D27" s="79"/>
      <c r="E27" s="79"/>
      <c r="F27" s="79"/>
      <c r="G27" s="79"/>
      <c r="H27" s="79"/>
      <c r="I27" s="79"/>
      <c r="J27" s="79"/>
      <c r="K27" s="79"/>
      <c r="L27" s="767"/>
      <c r="M27" s="79"/>
      <c r="N27" s="79"/>
      <c r="O27" s="79"/>
      <c r="S27" s="1274" t="s">
        <v>41</v>
      </c>
      <c r="T27" s="1274"/>
      <c r="U27" s="770"/>
      <c r="V27" s="1276" t="str">
        <f>IF(TITLE_NAME_OR_PR_CHANGE="",IF(TITLE_NAME_OR_PR="","",TITLE_NAME_OR_PR),TITLE_NAME_OR_PR_CHANGE)</f>
        <v/>
      </c>
      <c r="W27" s="1276"/>
      <c r="X27" s="1276"/>
      <c r="Y27" s="1276"/>
      <c r="Z27" s="1276"/>
      <c r="AA27" s="1276"/>
      <c r="AB27" s="10"/>
      <c r="AC27" s="1276" t="str">
        <f>IF(TITLE_NAME_OR_PR_CHANGE="",IF(TITLE_NAME_OR_PR="","",TITLE_NAME_OR_PR),TITLE_NAME_OR_PR_CHANGE)</f>
        <v/>
      </c>
      <c r="AD27" s="1276"/>
      <c r="AE27" s="1276"/>
      <c r="AF27" s="1276"/>
      <c r="AG27" s="1276"/>
      <c r="AH27" s="1276"/>
      <c r="AI27" s="10"/>
      <c r="AJ27" s="10"/>
      <c r="AK27" s="160"/>
      <c r="AL27" s="66"/>
      <c r="AM27" s="66"/>
      <c r="AN27" s="66"/>
      <c r="AO27" s="66"/>
      <c r="AP27" s="66"/>
      <c r="AQ27" s="34">
        <v>0</v>
      </c>
    </row>
    <row r="28" spans="1:43" s="34" customFormat="1" ht="18.75" hidden="1" customHeight="1">
      <c r="A28" s="79"/>
      <c r="B28" s="79"/>
      <c r="C28" s="79"/>
      <c r="D28" s="79"/>
      <c r="E28" s="79"/>
      <c r="F28" s="79"/>
      <c r="G28" s="79"/>
      <c r="H28" s="79"/>
      <c r="I28" s="79"/>
      <c r="J28" s="79"/>
      <c r="K28" s="79"/>
      <c r="L28" s="767"/>
      <c r="M28" s="79"/>
      <c r="N28" s="79"/>
      <c r="O28" s="79"/>
      <c r="S28" s="1274" t="s">
        <v>421</v>
      </c>
      <c r="T28" s="1274"/>
      <c r="U28" s="770"/>
      <c r="V28" s="1275">
        <f>IF(TITLE_DATE_PR_CHANGE="",IF(TITLE_DATE_PR="","",TITLE_DATE_PR),TITLE_DATE_PR_CHANGE)</f>
        <v>45805</v>
      </c>
      <c r="W28" s="1275"/>
      <c r="X28" s="1275"/>
      <c r="Y28" s="1275"/>
      <c r="Z28" s="1275"/>
      <c r="AA28" s="1275"/>
      <c r="AB28" s="10"/>
      <c r="AC28" s="1275">
        <f>IF(TITLE_DATE_PR_CHANGE="",IF(TITLE_DATE_PR="","",TITLE_DATE_PR),TITLE_DATE_PR_CHANGE)</f>
        <v>45805</v>
      </c>
      <c r="AD28" s="1275"/>
      <c r="AE28" s="1275"/>
      <c r="AF28" s="1275"/>
      <c r="AG28" s="1275"/>
      <c r="AH28" s="1275"/>
      <c r="AI28" s="10"/>
      <c r="AJ28" s="10"/>
      <c r="AK28" s="160"/>
      <c r="AL28" s="66"/>
      <c r="AM28" s="66"/>
      <c r="AN28" s="66"/>
      <c r="AO28" s="66"/>
      <c r="AP28" s="66"/>
      <c r="AQ28" s="34">
        <v>0</v>
      </c>
    </row>
    <row r="29" spans="1:43" s="34" customFormat="1" ht="18.75" hidden="1" customHeight="1">
      <c r="A29" s="79"/>
      <c r="B29" s="79"/>
      <c r="C29" s="79"/>
      <c r="D29" s="79"/>
      <c r="E29" s="79"/>
      <c r="F29" s="79"/>
      <c r="G29" s="79"/>
      <c r="H29" s="79"/>
      <c r="I29" s="79"/>
      <c r="J29" s="79"/>
      <c r="K29" s="79"/>
      <c r="L29" s="767"/>
      <c r="M29" s="79"/>
      <c r="N29" s="79"/>
      <c r="O29" s="79"/>
      <c r="S29" s="1274" t="s">
        <v>422</v>
      </c>
      <c r="T29" s="1274"/>
      <c r="U29" s="770"/>
      <c r="V29" s="1276" t="str">
        <f>IF(TITLE_NUMBER_PR_CHANGE="",IF(TITLE_NUMBER_PR="","",TITLE_NUMBER_PR),TITLE_NUMBER_PR_CHANGE)</f>
        <v>2496</v>
      </c>
      <c r="W29" s="1276"/>
      <c r="X29" s="1276"/>
      <c r="Y29" s="1276"/>
      <c r="Z29" s="1276"/>
      <c r="AA29" s="1276"/>
      <c r="AB29" s="10"/>
      <c r="AC29" s="1276" t="str">
        <f>IF(TITLE_NUMBER_PR_CHANGE="",IF(TITLE_NUMBER_PR="","",TITLE_NUMBER_PR),TITLE_NUMBER_PR_CHANGE)</f>
        <v>2496</v>
      </c>
      <c r="AD29" s="1276"/>
      <c r="AE29" s="1276"/>
      <c r="AF29" s="1276"/>
      <c r="AG29" s="1276"/>
      <c r="AH29" s="1276"/>
      <c r="AI29" s="10"/>
      <c r="AJ29" s="10"/>
      <c r="AK29" s="160"/>
      <c r="AL29" s="66"/>
      <c r="AM29" s="66"/>
      <c r="AN29" s="66"/>
      <c r="AO29" s="66"/>
      <c r="AP29" s="66"/>
      <c r="AQ29" s="34">
        <v>0</v>
      </c>
    </row>
    <row r="30" spans="1:43" s="34" customFormat="1" ht="18.75" hidden="1" customHeight="1">
      <c r="A30" s="79"/>
      <c r="B30" s="79"/>
      <c r="C30" s="79"/>
      <c r="D30" s="79"/>
      <c r="E30" s="79"/>
      <c r="F30" s="79"/>
      <c r="G30" s="79"/>
      <c r="H30" s="79"/>
      <c r="I30" s="79"/>
      <c r="J30" s="79"/>
      <c r="K30" s="79"/>
      <c r="L30" s="767"/>
      <c r="M30" s="79"/>
      <c r="N30" s="79"/>
      <c r="O30" s="79"/>
      <c r="S30" s="1274" t="s">
        <v>42</v>
      </c>
      <c r="T30" s="1274"/>
      <c r="U30" s="770"/>
      <c r="V30" s="1276" t="str">
        <f>IF(TITLE_IST_PUB_CHANGE="",IF(TITLE_IST_PUB="","",TITLE_IST_PUB),TITLE_IST_PUB_CHANGE)</f>
        <v/>
      </c>
      <c r="W30" s="1276"/>
      <c r="X30" s="1276"/>
      <c r="Y30" s="1276"/>
      <c r="Z30" s="1276"/>
      <c r="AA30" s="1276"/>
      <c r="AB30" s="10"/>
      <c r="AC30" s="1276" t="str">
        <f>IF(TITLE_IST_PUB_CHANGE="",IF(TITLE_IST_PUB="","",TITLE_IST_PUB),TITLE_IST_PUB_CHANGE)</f>
        <v/>
      </c>
      <c r="AD30" s="1276"/>
      <c r="AE30" s="1276"/>
      <c r="AF30" s="1276"/>
      <c r="AG30" s="1276"/>
      <c r="AH30" s="1276"/>
      <c r="AI30" s="10"/>
      <c r="AJ30" s="10"/>
      <c r="AK30" s="160"/>
      <c r="AL30" s="66"/>
      <c r="AM30" s="66"/>
      <c r="AN30" s="66"/>
      <c r="AO30" s="66"/>
      <c r="AP30" s="66"/>
      <c r="AQ30" s="34">
        <v>0</v>
      </c>
    </row>
    <row r="31" spans="1:43" ht="14.25" customHeight="1">
      <c r="Q31" s="27"/>
      <c r="R31" s="27"/>
      <c r="S31" s="736"/>
      <c r="T31" s="9"/>
      <c r="U31" s="9"/>
      <c r="V31" s="186"/>
      <c r="W31" s="186"/>
      <c r="X31" s="186"/>
      <c r="Y31" s="186"/>
      <c r="Z31" s="186"/>
      <c r="AA31" s="186"/>
      <c r="AB31" s="186"/>
      <c r="AC31" s="186"/>
      <c r="AD31" s="186"/>
      <c r="AE31" s="186"/>
      <c r="AF31" s="186"/>
      <c r="AG31" s="186"/>
      <c r="AH31" s="186"/>
      <c r="AI31" s="186"/>
      <c r="AQ31" s="10">
        <v>0</v>
      </c>
    </row>
    <row r="32" spans="1:43" s="34" customFormat="1" ht="18.75" customHeight="1">
      <c r="A32" s="79"/>
      <c r="B32" s="79"/>
      <c r="C32" s="79"/>
      <c r="D32" s="79"/>
      <c r="E32" s="79"/>
      <c r="F32" s="79"/>
      <c r="G32" s="79"/>
      <c r="H32" s="79"/>
      <c r="I32" s="79"/>
      <c r="J32" s="79"/>
      <c r="K32" s="79"/>
      <c r="L32" s="767"/>
      <c r="M32" s="79"/>
      <c r="N32" s="79"/>
      <c r="O32" s="79"/>
      <c r="S32" s="1274" t="s">
        <v>423</v>
      </c>
      <c r="T32" s="1274"/>
      <c r="U32" s="770"/>
      <c r="V32" s="1275">
        <f>IF(TITLE_DATE_PR_CHANGE="",IF(TITLE_DATE_PR="","",TITLE_DATE_PR),TITLE_DATE_PR_CHANGE)</f>
        <v>45805</v>
      </c>
      <c r="W32" s="1275"/>
      <c r="X32" s="1275"/>
      <c r="Y32" s="1275"/>
      <c r="Z32" s="1275"/>
      <c r="AA32" s="1275"/>
      <c r="AB32" s="10"/>
      <c r="AC32" s="1275">
        <f>IF(TITLE_DATE_PR_CHANGE="",IF(TITLE_DATE_PR="","",TITLE_DATE_PR),TITLE_DATE_PR_CHANGE)</f>
        <v>45805</v>
      </c>
      <c r="AD32" s="1275"/>
      <c r="AE32" s="1275"/>
      <c r="AF32" s="1275"/>
      <c r="AG32" s="1275"/>
      <c r="AH32" s="1275"/>
      <c r="AI32" s="10"/>
      <c r="AJ32" s="10"/>
      <c r="AK32" s="160"/>
      <c r="AL32" s="66"/>
      <c r="AM32" s="66"/>
      <c r="AN32" s="66"/>
      <c r="AO32" s="66"/>
      <c r="AP32" s="66"/>
      <c r="AQ32" s="34">
        <v>0</v>
      </c>
    </row>
    <row r="33" spans="1:43" s="34" customFormat="1" ht="18.75" customHeight="1">
      <c r="A33" s="79"/>
      <c r="B33" s="79"/>
      <c r="C33" s="79"/>
      <c r="D33" s="79"/>
      <c r="E33" s="79"/>
      <c r="F33" s="79"/>
      <c r="G33" s="79"/>
      <c r="H33" s="79"/>
      <c r="I33" s="79"/>
      <c r="J33" s="79"/>
      <c r="K33" s="79"/>
      <c r="L33" s="767"/>
      <c r="M33" s="79"/>
      <c r="N33" s="79"/>
      <c r="O33" s="79"/>
      <c r="S33" s="1274" t="s">
        <v>424</v>
      </c>
      <c r="T33" s="1274"/>
      <c r="U33" s="770"/>
      <c r="V33" s="1276" t="str">
        <f>IF(TITLE_NUMBER_PR_CHANGE="",IF(TITLE_NUMBER_PR="","",TITLE_NUMBER_PR),TITLE_NUMBER_PR_CHANGE)</f>
        <v>2496</v>
      </c>
      <c r="W33" s="1276"/>
      <c r="X33" s="1276"/>
      <c r="Y33" s="1276"/>
      <c r="Z33" s="1276"/>
      <c r="AA33" s="1276"/>
      <c r="AB33" s="10"/>
      <c r="AC33" s="1276" t="str">
        <f>IF(TITLE_NUMBER_PR_CHANGE="",IF(TITLE_NUMBER_PR="","",TITLE_NUMBER_PR),TITLE_NUMBER_PR_CHANGE)</f>
        <v>2496</v>
      </c>
      <c r="AD33" s="1276"/>
      <c r="AE33" s="1276"/>
      <c r="AF33" s="1276"/>
      <c r="AG33" s="1276"/>
      <c r="AH33" s="1276"/>
      <c r="AI33" s="10"/>
      <c r="AJ33" s="10"/>
      <c r="AK33" s="160"/>
      <c r="AL33" s="66"/>
      <c r="AM33" s="66"/>
      <c r="AN33" s="66"/>
      <c r="AO33" s="66"/>
      <c r="AP33" s="66"/>
      <c r="AQ33" s="34">
        <v>0</v>
      </c>
    </row>
    <row r="34" spans="1:43" s="34" customFormat="1" ht="1.1499999999999999" customHeight="1">
      <c r="A34" s="79"/>
      <c r="B34" s="79"/>
      <c r="C34" s="79"/>
      <c r="D34" s="79"/>
      <c r="E34" s="79"/>
      <c r="F34" s="79"/>
      <c r="G34" s="79"/>
      <c r="H34" s="79"/>
      <c r="I34" s="79"/>
      <c r="J34" s="79"/>
      <c r="K34" s="79"/>
      <c r="L34" s="767"/>
      <c r="M34" s="79"/>
      <c r="N34" s="79"/>
      <c r="O34" s="79"/>
      <c r="S34" s="10"/>
      <c r="T34" s="10"/>
      <c r="U34" s="75"/>
      <c r="V34" s="10"/>
      <c r="W34" s="10"/>
      <c r="X34" s="10"/>
      <c r="Y34" s="10"/>
      <c r="Z34" s="10"/>
      <c r="AA34" s="10"/>
      <c r="AB34" s="65" t="s">
        <v>425</v>
      </c>
      <c r="AC34" s="10"/>
      <c r="AD34" s="10"/>
      <c r="AE34" s="10"/>
      <c r="AF34" s="10"/>
      <c r="AG34" s="10"/>
      <c r="AH34" s="10"/>
      <c r="AI34" s="65" t="s">
        <v>425</v>
      </c>
      <c r="AL34" s="66"/>
      <c r="AM34" s="66"/>
      <c r="AN34" s="66"/>
      <c r="AO34" s="66"/>
      <c r="AP34" s="66"/>
      <c r="AQ34" s="34">
        <v>1</v>
      </c>
    </row>
    <row r="35" spans="1:43" ht="14.65" customHeight="1">
      <c r="Q35" s="27"/>
      <c r="R35" s="27"/>
      <c r="S35" s="736"/>
      <c r="T35" s="9"/>
      <c r="U35" s="717"/>
      <c r="V35" s="1295"/>
      <c r="W35" s="1295"/>
      <c r="X35" s="1295"/>
      <c r="Y35" s="1295"/>
      <c r="Z35" s="1295"/>
      <c r="AA35" s="1295"/>
      <c r="AB35" s="1295"/>
      <c r="AC35" s="1295"/>
      <c r="AD35" s="1295"/>
      <c r="AE35" s="1295"/>
      <c r="AF35" s="1295"/>
      <c r="AG35" s="1295"/>
      <c r="AH35" s="1295"/>
      <c r="AI35" s="1295"/>
      <c r="AQ35" s="10">
        <v>14</v>
      </c>
    </row>
    <row r="36" spans="1:43" ht="14.65" customHeight="1">
      <c r="Q36" s="27"/>
      <c r="R36" s="27"/>
      <c r="S36" s="1146" t="s">
        <v>300</v>
      </c>
      <c r="T36" s="1146"/>
      <c r="U36" s="1146"/>
      <c r="V36" s="1146"/>
      <c r="W36" s="1146"/>
      <c r="X36" s="1146"/>
      <c r="Y36" s="1146"/>
      <c r="Z36" s="1146"/>
      <c r="AA36" s="1146"/>
      <c r="AB36" s="1146"/>
      <c r="AC36" s="1146"/>
      <c r="AD36" s="1146"/>
      <c r="AE36" s="1146"/>
      <c r="AF36" s="1146"/>
      <c r="AG36" s="1146"/>
      <c r="AH36" s="1146"/>
      <c r="AI36" s="1146"/>
      <c r="AJ36" s="1146"/>
      <c r="AK36" s="1146" t="s">
        <v>301</v>
      </c>
      <c r="AQ36" s="10">
        <v>14</v>
      </c>
    </row>
    <row r="37" spans="1:43" ht="14.65" customHeight="1">
      <c r="Q37" s="27"/>
      <c r="R37" s="27"/>
      <c r="S37" s="1296" t="s">
        <v>86</v>
      </c>
      <c r="T37" s="1244" t="s">
        <v>426</v>
      </c>
      <c r="U37" s="169"/>
      <c r="V37" s="1297" t="s">
        <v>427</v>
      </c>
      <c r="W37" s="1298"/>
      <c r="X37" s="1298"/>
      <c r="Y37" s="1298"/>
      <c r="Z37" s="1298"/>
      <c r="AA37" s="1299"/>
      <c r="AB37" s="1300" t="s">
        <v>428</v>
      </c>
      <c r="AC37" s="1297" t="s">
        <v>427</v>
      </c>
      <c r="AD37" s="1298"/>
      <c r="AE37" s="1298"/>
      <c r="AF37" s="1298"/>
      <c r="AG37" s="1298"/>
      <c r="AH37" s="1299"/>
      <c r="AI37" s="1300" t="s">
        <v>429</v>
      </c>
      <c r="AJ37" s="1303" t="s">
        <v>430</v>
      </c>
      <c r="AK37" s="1146"/>
      <c r="AQ37" s="10">
        <v>14</v>
      </c>
    </row>
    <row r="38" spans="1:43" ht="35.65" customHeight="1">
      <c r="Q38" s="27"/>
      <c r="R38" s="27"/>
      <c r="S38" s="1296"/>
      <c r="T38" s="1244"/>
      <c r="U38" s="604"/>
      <c r="V38" s="337" t="s">
        <v>486</v>
      </c>
      <c r="W38" s="1128" t="s">
        <v>433</v>
      </c>
      <c r="X38" s="1127"/>
      <c r="Y38" s="1128" t="s">
        <v>434</v>
      </c>
      <c r="Z38" s="1133"/>
      <c r="AA38" s="1127"/>
      <c r="AB38" s="1301"/>
      <c r="AC38" s="337" t="s">
        <v>486</v>
      </c>
      <c r="AD38" s="1128" t="s">
        <v>433</v>
      </c>
      <c r="AE38" s="1127"/>
      <c r="AF38" s="1128" t="s">
        <v>434</v>
      </c>
      <c r="AG38" s="1133"/>
      <c r="AH38" s="1127"/>
      <c r="AI38" s="1301"/>
      <c r="AJ38" s="1304"/>
      <c r="AK38" s="1146"/>
      <c r="AQ38" s="10">
        <v>34</v>
      </c>
    </row>
    <row r="39" spans="1:43" ht="35.65" customHeight="1">
      <c r="A39" s="79"/>
      <c r="B39" s="79" t="s">
        <v>133</v>
      </c>
      <c r="C39" s="79" t="s">
        <v>134</v>
      </c>
      <c r="D39" s="79" t="s">
        <v>135</v>
      </c>
      <c r="E39" s="767" t="s">
        <v>435</v>
      </c>
      <c r="F39" s="767" t="s">
        <v>436</v>
      </c>
      <c r="G39" s="767" t="s">
        <v>437</v>
      </c>
      <c r="H39" s="767"/>
      <c r="I39" s="767" t="s">
        <v>487</v>
      </c>
      <c r="J39" s="767" t="s">
        <v>440</v>
      </c>
      <c r="K39" s="767" t="s">
        <v>488</v>
      </c>
      <c r="L39" s="767" t="s">
        <v>416</v>
      </c>
      <c r="Q39" s="27"/>
      <c r="R39" s="27"/>
      <c r="S39" s="1296"/>
      <c r="T39" s="1244"/>
      <c r="U39" s="170"/>
      <c r="V39" s="337" t="s">
        <v>489</v>
      </c>
      <c r="W39" s="38" t="s">
        <v>490</v>
      </c>
      <c r="X39" s="38" t="s">
        <v>491</v>
      </c>
      <c r="Y39" s="38" t="s">
        <v>444</v>
      </c>
      <c r="Z39" s="1249" t="s">
        <v>445</v>
      </c>
      <c r="AA39" s="1263"/>
      <c r="AB39" s="1302"/>
      <c r="AC39" s="337" t="s">
        <v>489</v>
      </c>
      <c r="AD39" s="38" t="s">
        <v>490</v>
      </c>
      <c r="AE39" s="38" t="s">
        <v>491</v>
      </c>
      <c r="AF39" s="38" t="s">
        <v>444</v>
      </c>
      <c r="AG39" s="1249" t="s">
        <v>445</v>
      </c>
      <c r="AH39" s="1263"/>
      <c r="AI39" s="1302"/>
      <c r="AJ39" s="1305"/>
      <c r="AK39" s="1146"/>
      <c r="AQ39" s="10">
        <v>34</v>
      </c>
    </row>
    <row r="40" spans="1:43" s="200" customFormat="1" ht="0" hidden="1" customHeight="1">
      <c r="A40" s="79"/>
      <c r="B40" s="79"/>
      <c r="C40" s="79"/>
      <c r="D40" s="79"/>
      <c r="E40" s="79"/>
      <c r="F40" s="79"/>
      <c r="G40" s="79"/>
      <c r="H40" s="79"/>
      <c r="I40" s="79"/>
      <c r="J40" s="79"/>
      <c r="K40" s="79"/>
      <c r="L40" s="767"/>
      <c r="M40" s="503"/>
      <c r="N40" s="503"/>
      <c r="O40" s="503"/>
      <c r="P40" s="719"/>
      <c r="Q40" s="720"/>
      <c r="R40" s="722">
        <v>1</v>
      </c>
      <c r="S40" s="738" t="s">
        <v>107</v>
      </c>
      <c r="T40" s="723" t="s">
        <v>108</v>
      </c>
      <c r="U40" s="718" t="str">
        <f ca="1">OFFSET(U40,0,-1)</f>
        <v>2</v>
      </c>
      <c r="V40" s="724">
        <f ca="1">OFFSET(V40,0,-1)+1</f>
        <v>3</v>
      </c>
      <c r="W40" s="724">
        <f ca="1">OFFSET(W40,0,-1)+1</f>
        <v>4</v>
      </c>
      <c r="X40" s="724">
        <f ca="1">OFFSET(X40,0,-1)+1</f>
        <v>5</v>
      </c>
      <c r="Y40" s="724">
        <f ca="1">OFFSET(Y40,0,-1)+1</f>
        <v>6</v>
      </c>
      <c r="Z40" s="1294">
        <f ca="1">OFFSET(Z40,0,-1)+1</f>
        <v>7</v>
      </c>
      <c r="AA40" s="1294"/>
      <c r="AB40" s="724">
        <f ca="1">OFFSET(AB40,0,-2)+1</f>
        <v>8</v>
      </c>
      <c r="AC40" s="724">
        <f ca="1">OFFSET(AC40,0,-1)+1</f>
        <v>9</v>
      </c>
      <c r="AD40" s="724">
        <f ca="1">OFFSET(AD40,0,-1)+1</f>
        <v>10</v>
      </c>
      <c r="AE40" s="724">
        <f ca="1">OFFSET(AE40,0,-1)+1</f>
        <v>11</v>
      </c>
      <c r="AF40" s="724">
        <f ca="1">OFFSET(AF40,0,-1)+1</f>
        <v>12</v>
      </c>
      <c r="AG40" s="1294">
        <f ca="1">OFFSET(AG40,0,-1)+1</f>
        <v>13</v>
      </c>
      <c r="AH40" s="1294"/>
      <c r="AI40" s="724">
        <f ca="1">OFFSET(AI40,0,-2)+1</f>
        <v>14</v>
      </c>
      <c r="AJ40" s="718">
        <f ca="1">OFFSET(AJ40,0,-1)</f>
        <v>14</v>
      </c>
      <c r="AK40" s="724">
        <f ca="1">OFFSET(AK40,0,-1)+1</f>
        <v>15</v>
      </c>
      <c r="AL40" s="65"/>
      <c r="AM40" s="65"/>
      <c r="AN40" s="65"/>
      <c r="AO40" s="65"/>
      <c r="AP40" s="65"/>
      <c r="AQ40" s="200">
        <v>0</v>
      </c>
    </row>
    <row r="41" spans="1:43" ht="24" customHeight="1">
      <c r="A41" s="766" t="s">
        <v>236</v>
      </c>
      <c r="B41" s="766"/>
      <c r="C41" s="766"/>
      <c r="D41" s="766"/>
      <c r="E41" s="1283">
        <v>1</v>
      </c>
      <c r="F41" s="766"/>
      <c r="G41" s="766"/>
      <c r="H41" s="766"/>
      <c r="I41" s="766"/>
      <c r="J41" s="766"/>
      <c r="K41" s="766"/>
      <c r="L41" s="767"/>
      <c r="M41" s="423"/>
      <c r="N41" s="423"/>
      <c r="O41" s="423"/>
      <c r="Q41" s="33"/>
      <c r="R41" s="204"/>
      <c r="S41" s="706">
        <f>INDEX(PT_DIFFERENTIATION_NUM_NTAR,MATCH(A41,PT_DIFFERENTIATION_NTAR_ID,0))</f>
        <v>0</v>
      </c>
      <c r="T41" s="64" t="s">
        <v>121</v>
      </c>
      <c r="U41" s="168"/>
      <c r="V41" s="1277"/>
      <c r="W41" s="1278"/>
      <c r="X41" s="1278"/>
      <c r="Y41" s="1278"/>
      <c r="Z41" s="1278"/>
      <c r="AA41" s="1278"/>
      <c r="AB41" s="1279"/>
      <c r="AC41" s="1277" t="str">
        <f>INDEX(PT_DIFFERENTIATION_NTAR,MATCH(A41,PT_DIFFERENTIATION_NTAR_ID,0))</f>
        <v/>
      </c>
      <c r="AD41" s="1278"/>
      <c r="AE41" s="1278"/>
      <c r="AF41" s="1278"/>
      <c r="AG41" s="1278"/>
      <c r="AH41" s="1278"/>
      <c r="AI41" s="1278"/>
      <c r="AJ41" s="1279"/>
      <c r="AK41"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66" t="s">
        <v>236</v>
      </c>
      <c r="B42" s="766" t="s">
        <v>237</v>
      </c>
      <c r="C42" s="766"/>
      <c r="D42" s="766"/>
      <c r="E42" s="1284"/>
      <c r="F42" s="1283">
        <v>1</v>
      </c>
      <c r="G42" s="766"/>
      <c r="H42" s="766"/>
      <c r="I42" s="766"/>
      <c r="J42" s="766"/>
      <c r="K42" s="766"/>
      <c r="L42" s="767"/>
      <c r="M42" s="423"/>
      <c r="N42" s="423"/>
      <c r="O42" s="423"/>
      <c r="P42" s="56"/>
      <c r="Q42" s="201"/>
      <c r="R42" s="202"/>
      <c r="S42" s="706" t="str">
        <f>INDEX(PT_DIFFERENTIATION_NUM_TER,MATCH(B42,PT_DIFFERENTIATION_TER_ID,0))</f>
        <v>.</v>
      </c>
      <c r="T42" s="174" t="s">
        <v>397</v>
      </c>
      <c r="U42" s="168"/>
      <c r="V42" s="1277"/>
      <c r="W42" s="1278"/>
      <c r="X42" s="1278"/>
      <c r="Y42" s="1278"/>
      <c r="Z42" s="1278"/>
      <c r="AA42" s="1278"/>
      <c r="AB42" s="1279"/>
      <c r="AC42" s="1277" t="str">
        <f>INDEX(PT_DIFFERENTIATION_TER,MATCH(B42,PT_DIFFERENTIATION_TER_ID,0))</f>
        <v/>
      </c>
      <c r="AD42" s="1278"/>
      <c r="AE42" s="1278"/>
      <c r="AF42" s="1278"/>
      <c r="AG42" s="1278"/>
      <c r="AH42" s="1278"/>
      <c r="AI42" s="1278"/>
      <c r="AJ42" s="1279"/>
      <c r="AK42" s="726" t="s">
        <v>398</v>
      </c>
      <c r="AM42" s="66"/>
      <c r="AN42" s="66" t="str">
        <f t="shared" si="1"/>
        <v>Территория действия тарифа</v>
      </c>
      <c r="AO42" s="66"/>
      <c r="AP42" s="66"/>
      <c r="AQ42" s="10">
        <v>23</v>
      </c>
    </row>
    <row r="43" spans="1:43" ht="24" customHeight="1">
      <c r="A43" s="766" t="s">
        <v>236</v>
      </c>
      <c r="B43" s="766" t="s">
        <v>237</v>
      </c>
      <c r="C43" s="766" t="s">
        <v>238</v>
      </c>
      <c r="D43" s="766"/>
      <c r="E43" s="1284"/>
      <c r="F43" s="1284"/>
      <c r="G43" s="1283">
        <v>1</v>
      </c>
      <c r="H43" s="766"/>
      <c r="I43" s="766"/>
      <c r="J43" s="766"/>
      <c r="K43" s="766"/>
      <c r="L43" s="767"/>
      <c r="M43" s="423"/>
      <c r="N43" s="423"/>
      <c r="O43" s="423"/>
      <c r="P43" s="203"/>
      <c r="Q43" s="201"/>
      <c r="R43" s="202"/>
      <c r="S43" s="706" t="str">
        <f>INDEX(PT_DIFFERENTIATION_NUM_CS,MATCH(C43,PT_DIFFERENTIATION_CS_ID,0))</f>
        <v>..</v>
      </c>
      <c r="T43" s="175" t="s">
        <v>478</v>
      </c>
      <c r="U43" s="168"/>
      <c r="V43" s="1277"/>
      <c r="W43" s="1278"/>
      <c r="X43" s="1278"/>
      <c r="Y43" s="1278"/>
      <c r="Z43" s="1278"/>
      <c r="AA43" s="1278"/>
      <c r="AB43" s="1279"/>
      <c r="AC43" s="1277" t="str">
        <f>INDEX(PT_DIFFERENTIATION_CS,MATCH(C43,PT_DIFFERENTIATION_CS_ID,0))</f>
        <v/>
      </c>
      <c r="AD43" s="1278"/>
      <c r="AE43" s="1278"/>
      <c r="AF43" s="1278"/>
      <c r="AG43" s="1278"/>
      <c r="AH43" s="1278"/>
      <c r="AI43" s="1278"/>
      <c r="AJ43" s="1279"/>
      <c r="AK43" s="726" t="s">
        <v>479</v>
      </c>
      <c r="AM43" s="66"/>
      <c r="AN43" s="66" t="str">
        <f t="shared" si="1"/>
        <v>Наименование централизованной системы холодного водоснабжения</v>
      </c>
      <c r="AO43" s="66"/>
      <c r="AP43" s="66"/>
      <c r="AQ43" s="10">
        <v>23</v>
      </c>
    </row>
    <row r="44" spans="1:43" ht="24" customHeight="1">
      <c r="A44" s="766" t="s">
        <v>236</v>
      </c>
      <c r="B44" s="766" t="s">
        <v>237</v>
      </c>
      <c r="C44" s="766" t="s">
        <v>238</v>
      </c>
      <c r="D44" s="766" t="s">
        <v>496</v>
      </c>
      <c r="E44" s="1284"/>
      <c r="F44" s="1284"/>
      <c r="G44" s="1284"/>
      <c r="H44" s="1284"/>
      <c r="I44" s="1285" t="str">
        <f>S43&amp;".1"</f>
        <v>...1</v>
      </c>
      <c r="J44" s="766"/>
      <c r="K44" s="766"/>
      <c r="L44" s="767"/>
      <c r="P44" s="1287">
        <v>1</v>
      </c>
      <c r="Q44" s="119"/>
      <c r="R44" s="205"/>
      <c r="S44" s="706" t="str">
        <f>$I44</f>
        <v>...1</v>
      </c>
      <c r="T44" s="161" t="s">
        <v>480</v>
      </c>
      <c r="U44" s="168"/>
      <c r="V44" s="1351"/>
      <c r="W44" s="1352"/>
      <c r="X44" s="1352"/>
      <c r="Y44" s="1352"/>
      <c r="Z44" s="1352"/>
      <c r="AA44" s="1352"/>
      <c r="AB44" s="1353"/>
      <c r="AC44" s="1354"/>
      <c r="AD44" s="1355"/>
      <c r="AE44" s="1355"/>
      <c r="AF44" s="1355"/>
      <c r="AG44" s="1355"/>
      <c r="AH44" s="1355"/>
      <c r="AI44" s="1355"/>
      <c r="AJ44" s="1356"/>
      <c r="AK44" s="726" t="s">
        <v>481</v>
      </c>
      <c r="AM44" s="66"/>
      <c r="AN44" s="66" t="str">
        <f t="shared" si="1"/>
        <v>Наименование признака дифференциации</v>
      </c>
      <c r="AO44" s="66"/>
      <c r="AP44" s="66"/>
      <c r="AQ44" s="10">
        <v>23</v>
      </c>
    </row>
    <row r="45" spans="1:43" ht="24" customHeight="1">
      <c r="A45" s="766" t="s">
        <v>236</v>
      </c>
      <c r="B45" s="766" t="s">
        <v>237</v>
      </c>
      <c r="C45" s="766" t="s">
        <v>238</v>
      </c>
      <c r="D45" s="766" t="s">
        <v>496</v>
      </c>
      <c r="E45" s="1284"/>
      <c r="F45" s="1284"/>
      <c r="G45" s="1284"/>
      <c r="H45" s="1284"/>
      <c r="I45" s="1286"/>
      <c r="J45" s="1285" t="str">
        <f>I44&amp;".1"</f>
        <v>...1.1</v>
      </c>
      <c r="K45" s="766"/>
      <c r="L45" s="767" t="s">
        <v>406</v>
      </c>
      <c r="P45" s="1287"/>
      <c r="Q45" s="1287">
        <v>1</v>
      </c>
      <c r="R45" s="206"/>
      <c r="S45" s="706" t="str">
        <f>$J45</f>
        <v>...1.1</v>
      </c>
      <c r="T45" s="162" t="s">
        <v>407</v>
      </c>
      <c r="U45" s="168"/>
      <c r="V45" s="1271"/>
      <c r="W45" s="1272"/>
      <c r="X45" s="1272"/>
      <c r="Y45" s="1272"/>
      <c r="Z45" s="1272"/>
      <c r="AA45" s="1272"/>
      <c r="AB45" s="1273"/>
      <c r="AC45" s="1271"/>
      <c r="AD45" s="1272"/>
      <c r="AE45" s="1272"/>
      <c r="AF45" s="1272"/>
      <c r="AG45" s="1272"/>
      <c r="AH45" s="1272"/>
      <c r="AI45" s="1272"/>
      <c r="AJ45" s="1273"/>
      <c r="AK45" s="750" t="s">
        <v>482</v>
      </c>
      <c r="AM45" s="66"/>
      <c r="AN45" s="66" t="str">
        <f t="shared" si="1"/>
        <v>Группа потребителей</v>
      </c>
      <c r="AO45" s="66"/>
      <c r="AP45" s="66"/>
      <c r="AQ45" s="10">
        <v>23</v>
      </c>
    </row>
    <row r="46" spans="1:43" ht="24" customHeight="1">
      <c r="A46" s="766" t="s">
        <v>236</v>
      </c>
      <c r="B46" s="766" t="s">
        <v>237</v>
      </c>
      <c r="C46" s="766" t="s">
        <v>238</v>
      </c>
      <c r="D46" s="766" t="s">
        <v>496</v>
      </c>
      <c r="E46" s="1284"/>
      <c r="F46" s="1284"/>
      <c r="G46" s="1284"/>
      <c r="H46" s="1284"/>
      <c r="I46" s="1286"/>
      <c r="J46" s="1286"/>
      <c r="K46" s="1285" t="str">
        <f>J45&amp;".1"</f>
        <v>...1.1.1</v>
      </c>
      <c r="L46" s="767"/>
      <c r="P46" s="1287"/>
      <c r="Q46" s="1287"/>
      <c r="R46" s="206">
        <v>1</v>
      </c>
      <c r="S46" s="706" t="str">
        <f>$K46</f>
        <v>...1.1.1</v>
      </c>
      <c r="T46" s="810"/>
      <c r="U46" s="168"/>
      <c r="V46" s="303"/>
      <c r="W46" s="303"/>
      <c r="X46" s="725"/>
      <c r="Y46" s="1288"/>
      <c r="Z46" s="1156" t="s">
        <v>64</v>
      </c>
      <c r="AA46" s="1288"/>
      <c r="AB46" s="1156" t="s">
        <v>64</v>
      </c>
      <c r="AC46" s="303"/>
      <c r="AD46" s="303"/>
      <c r="AE46" s="725"/>
      <c r="AF46" s="1288"/>
      <c r="AG46" s="1156" t="s">
        <v>64</v>
      </c>
      <c r="AH46" s="1290"/>
      <c r="AI46" s="1156" t="s">
        <v>64</v>
      </c>
      <c r="AJ46" s="811"/>
      <c r="AK46"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66" t="s">
        <v>236</v>
      </c>
      <c r="B47" s="766" t="s">
        <v>237</v>
      </c>
      <c r="C47" s="766" t="s">
        <v>238</v>
      </c>
      <c r="D47" s="766" t="s">
        <v>496</v>
      </c>
      <c r="E47" s="1284"/>
      <c r="F47" s="1284"/>
      <c r="G47" s="1284"/>
      <c r="H47" s="1284"/>
      <c r="I47" s="1286"/>
      <c r="J47" s="1286"/>
      <c r="K47" s="1285"/>
      <c r="L47" s="767"/>
      <c r="P47" s="1287"/>
      <c r="Q47" s="1287"/>
      <c r="R47" s="206"/>
      <c r="S47" s="62"/>
      <c r="T47" s="168"/>
      <c r="U47" s="168"/>
      <c r="V47" s="188"/>
      <c r="W47" s="188"/>
      <c r="X47" s="189" t="str">
        <f>Y46&amp;"-"&amp;AA46</f>
        <v>-</v>
      </c>
      <c r="Y47" s="1289"/>
      <c r="Z47" s="1156"/>
      <c r="AA47" s="1289"/>
      <c r="AB47" s="1156"/>
      <c r="AC47" s="188"/>
      <c r="AD47" s="188"/>
      <c r="AE47" s="189" t="str">
        <f>AF46&amp;"-"&amp;AH46</f>
        <v>-</v>
      </c>
      <c r="AF47" s="1289"/>
      <c r="AG47" s="1156"/>
      <c r="AH47" s="1291"/>
      <c r="AI47" s="1156"/>
      <c r="AJ47" s="385"/>
      <c r="AK47" s="1357"/>
      <c r="AM47" s="66"/>
      <c r="AN47" s="66" t="str">
        <f t="shared" si="1"/>
        <v/>
      </c>
      <c r="AO47" s="66"/>
      <c r="AP47" s="66"/>
      <c r="AQ47" s="10">
        <v>0</v>
      </c>
    </row>
    <row r="48" spans="1:43" ht="21" customHeight="1">
      <c r="A48" s="766" t="s">
        <v>236</v>
      </c>
      <c r="B48" s="766" t="s">
        <v>237</v>
      </c>
      <c r="C48" s="766" t="s">
        <v>238</v>
      </c>
      <c r="D48" s="766" t="s">
        <v>496</v>
      </c>
      <c r="E48" s="1284"/>
      <c r="F48" s="1284"/>
      <c r="G48" s="1284"/>
      <c r="H48" s="1284"/>
      <c r="I48" s="1286"/>
      <c r="J48" s="1285"/>
      <c r="K48" s="766"/>
      <c r="L48" s="767"/>
      <c r="P48" s="1287"/>
      <c r="Q48" s="1287"/>
      <c r="R48" s="205"/>
      <c r="S48" s="739"/>
      <c r="T48" s="163" t="s">
        <v>483</v>
      </c>
      <c r="U48" s="210"/>
      <c r="V48" s="210"/>
      <c r="W48" s="210"/>
      <c r="X48" s="210"/>
      <c r="Y48" s="210"/>
      <c r="Z48" s="210"/>
      <c r="AA48" s="210"/>
      <c r="AB48" s="210"/>
      <c r="AC48" s="210"/>
      <c r="AD48" s="210"/>
      <c r="AE48" s="210"/>
      <c r="AF48" s="210"/>
      <c r="AG48" s="210"/>
      <c r="AH48" s="210"/>
      <c r="AI48" s="210"/>
      <c r="AJ48" s="210"/>
      <c r="AK48" s="726" t="s">
        <v>484</v>
      </c>
      <c r="AM48" s="66"/>
      <c r="AN48" s="66" t="str">
        <f t="shared" si="1"/>
        <v>Добавить значение признака дифференциации</v>
      </c>
      <c r="AO48" s="66"/>
      <c r="AP48" s="66"/>
      <c r="AQ48" s="10">
        <v>20</v>
      </c>
    </row>
    <row r="49" spans="1:43" ht="21.95" customHeight="1">
      <c r="A49" s="766" t="s">
        <v>236</v>
      </c>
      <c r="B49" s="766" t="s">
        <v>237</v>
      </c>
      <c r="C49" s="766" t="s">
        <v>238</v>
      </c>
      <c r="D49" s="766" t="s">
        <v>496</v>
      </c>
      <c r="E49" s="1284"/>
      <c r="F49" s="1284"/>
      <c r="G49" s="1284"/>
      <c r="H49" s="1284"/>
      <c r="I49" s="1285"/>
      <c r="J49" s="766"/>
      <c r="K49" s="766"/>
      <c r="L49" s="767"/>
      <c r="P49" s="1287"/>
      <c r="Q49" s="119"/>
      <c r="R49" s="205"/>
      <c r="S49" s="739"/>
      <c r="T49" s="208" t="s">
        <v>412</v>
      </c>
      <c r="U49" s="210"/>
      <c r="V49" s="210"/>
      <c r="W49" s="210"/>
      <c r="X49" s="210"/>
      <c r="Y49" s="210"/>
      <c r="Z49" s="210"/>
      <c r="AA49" s="210"/>
      <c r="AB49" s="209"/>
      <c r="AC49" s="210"/>
      <c r="AD49" s="210"/>
      <c r="AE49" s="210"/>
      <c r="AF49" s="210"/>
      <c r="AG49" s="210"/>
      <c r="AH49" s="210"/>
      <c r="AI49" s="209"/>
      <c r="AJ49" s="210"/>
      <c r="AK49" s="812"/>
      <c r="AM49" s="66"/>
      <c r="AN49" s="66" t="str">
        <f t="shared" si="1"/>
        <v>Добавить группу потребителей</v>
      </c>
      <c r="AO49" s="66"/>
      <c r="AP49" s="66"/>
      <c r="AQ49" s="10">
        <v>21</v>
      </c>
    </row>
    <row r="50" spans="1:43" ht="21.95" customHeight="1">
      <c r="A50" s="766" t="s">
        <v>236</v>
      </c>
      <c r="B50" s="766" t="s">
        <v>237</v>
      </c>
      <c r="C50" s="766" t="s">
        <v>238</v>
      </c>
      <c r="D50" s="766" t="s">
        <v>496</v>
      </c>
      <c r="E50" s="1284"/>
      <c r="F50" s="1284"/>
      <c r="G50" s="1284"/>
      <c r="H50" s="1283"/>
      <c r="I50" s="766"/>
      <c r="J50" s="766"/>
      <c r="K50" s="766"/>
      <c r="L50" s="767"/>
      <c r="M50" s="423"/>
      <c r="N50" s="423"/>
      <c r="O50" s="60"/>
      <c r="P50" s="33"/>
      <c r="Q50" s="213"/>
      <c r="R50" s="204"/>
      <c r="S50" s="739"/>
      <c r="T50" s="104" t="s">
        <v>485</v>
      </c>
      <c r="U50" s="210"/>
      <c r="V50" s="210"/>
      <c r="W50" s="210"/>
      <c r="X50" s="210"/>
      <c r="Y50" s="210"/>
      <c r="Z50" s="210"/>
      <c r="AA50" s="210"/>
      <c r="AB50" s="209"/>
      <c r="AC50" s="210"/>
      <c r="AD50" s="210"/>
      <c r="AE50" s="210"/>
      <c r="AF50" s="210"/>
      <c r="AG50" s="210"/>
      <c r="AH50" s="210"/>
      <c r="AI50" s="209"/>
      <c r="AJ50" s="210"/>
      <c r="AK50" s="171"/>
      <c r="AM50" s="66"/>
      <c r="AN50" s="66" t="str">
        <f t="shared" si="1"/>
        <v>Добавить наименование признака дифференциации</v>
      </c>
      <c r="AO50" s="66"/>
      <c r="AP50" s="66"/>
      <c r="AQ50" s="10">
        <v>21</v>
      </c>
    </row>
    <row r="51" spans="1:43" s="65" customFormat="1" ht="0" hidden="1" customHeight="1">
      <c r="A51" s="142" t="s">
        <v>236</v>
      </c>
      <c r="B51" s="142" t="s">
        <v>237</v>
      </c>
      <c r="C51" s="142"/>
      <c r="D51" s="142"/>
      <c r="E51" s="1284"/>
      <c r="F51" s="1283"/>
      <c r="G51" s="142"/>
      <c r="H51" s="142"/>
      <c r="I51" s="142"/>
      <c r="J51" s="142"/>
      <c r="K51" s="142"/>
      <c r="L51" s="343"/>
      <c r="M51" s="756"/>
      <c r="N51" s="756"/>
      <c r="P51" s="101"/>
      <c r="Q51" s="752"/>
      <c r="R51" s="101"/>
      <c r="S51" s="757"/>
      <c r="T51" s="759" t="s">
        <v>231</v>
      </c>
      <c r="U51" s="310"/>
      <c r="V51" s="310"/>
      <c r="W51" s="310"/>
      <c r="X51" s="310"/>
      <c r="Y51" s="310"/>
      <c r="Z51" s="310"/>
      <c r="AA51" s="310"/>
      <c r="AB51" s="310"/>
      <c r="AC51" s="310"/>
      <c r="AD51" s="310"/>
      <c r="AE51" s="310"/>
      <c r="AF51" s="310"/>
      <c r="AG51" s="310"/>
      <c r="AH51" s="310"/>
      <c r="AI51" s="310"/>
      <c r="AJ51" s="310"/>
      <c r="AK51" s="310"/>
      <c r="AM51" s="66"/>
      <c r="AN51" s="66" t="str">
        <f t="shared" si="1"/>
        <v>Добавить централизованную систему для дифференциации</v>
      </c>
      <c r="AO51" s="66"/>
      <c r="AP51" s="66"/>
      <c r="AQ51" s="65">
        <v>0</v>
      </c>
    </row>
    <row r="52" spans="1:43" s="65" customFormat="1" ht="0" hidden="1" customHeight="1">
      <c r="A52" s="142" t="s">
        <v>236</v>
      </c>
      <c r="B52" s="142"/>
      <c r="C52" s="142"/>
      <c r="D52" s="142"/>
      <c r="E52" s="1283"/>
      <c r="F52" s="142"/>
      <c r="G52" s="142"/>
      <c r="H52" s="142"/>
      <c r="I52" s="142"/>
      <c r="J52" s="142"/>
      <c r="K52" s="142"/>
      <c r="L52" s="343"/>
      <c r="M52" s="756"/>
      <c r="N52" s="756"/>
      <c r="P52" s="101"/>
      <c r="Q52" s="752"/>
      <c r="R52" s="101"/>
      <c r="S52" s="757"/>
      <c r="T52" s="759" t="s">
        <v>232</v>
      </c>
      <c r="U52" s="310"/>
      <c r="V52" s="310"/>
      <c r="W52" s="310"/>
      <c r="X52" s="310"/>
      <c r="Y52" s="310"/>
      <c r="Z52" s="310"/>
      <c r="AA52" s="310"/>
      <c r="AB52" s="310"/>
      <c r="AC52" s="310"/>
      <c r="AD52" s="310"/>
      <c r="AE52" s="310"/>
      <c r="AF52" s="310"/>
      <c r="AG52" s="310"/>
      <c r="AH52" s="310"/>
      <c r="AI52" s="310"/>
      <c r="AJ52" s="310"/>
      <c r="AK52" s="310"/>
      <c r="AM52" s="66"/>
      <c r="AN52" s="66" t="str">
        <f t="shared" si="1"/>
        <v>Добавить территорию для дифференциации</v>
      </c>
      <c r="AO52" s="66"/>
      <c r="AP52" s="66"/>
      <c r="AQ52" s="65">
        <v>0</v>
      </c>
    </row>
    <row r="53" spans="1:43" s="65" customFormat="1" ht="0" hidden="1" customHeight="1">
      <c r="A53" s="142"/>
      <c r="B53" s="142"/>
      <c r="C53" s="142"/>
      <c r="D53" s="142"/>
      <c r="E53" s="142"/>
      <c r="F53" s="142"/>
      <c r="G53" s="142"/>
      <c r="H53" s="142"/>
      <c r="I53" s="142"/>
      <c r="J53" s="142"/>
      <c r="K53" s="142"/>
      <c r="L53" s="343"/>
      <c r="M53" s="756"/>
      <c r="N53" s="756"/>
      <c r="P53" s="101"/>
      <c r="Q53" s="752"/>
      <c r="R53" s="101"/>
      <c r="S53" s="757"/>
      <c r="T53" s="759" t="s">
        <v>233</v>
      </c>
      <c r="U53" s="310"/>
      <c r="V53" s="310"/>
      <c r="W53" s="310"/>
      <c r="X53" s="310"/>
      <c r="Y53" s="310"/>
      <c r="Z53" s="310"/>
      <c r="AA53" s="310"/>
      <c r="AB53" s="310"/>
      <c r="AC53" s="310"/>
      <c r="AD53" s="310"/>
      <c r="AE53" s="310"/>
      <c r="AF53" s="310"/>
      <c r="AG53" s="310"/>
      <c r="AH53" s="310"/>
      <c r="AI53" s="310"/>
      <c r="AJ53" s="310"/>
      <c r="AK53" s="310"/>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5"/>
      <c r="T55" s="1282"/>
      <c r="U55" s="1282"/>
      <c r="V55" s="1282"/>
      <c r="W55" s="1282"/>
      <c r="X55" s="1282"/>
      <c r="Y55" s="1282"/>
      <c r="Z55" s="1282"/>
      <c r="AA55" s="1282"/>
      <c r="AB55" s="1282"/>
      <c r="AC55" s="1282"/>
      <c r="AD55" s="1282"/>
      <c r="AE55" s="1282"/>
      <c r="AF55" s="1282"/>
      <c r="AG55" s="1282"/>
      <c r="AH55" s="1282"/>
      <c r="AI55" s="1282"/>
      <c r="AJ55" s="1282"/>
      <c r="AK55" s="1282"/>
      <c r="AQ55" s="10">
        <v>14</v>
      </c>
    </row>
    <row r="56" spans="1:43" ht="14.65" customHeight="1">
      <c r="O56" s="60"/>
      <c r="AQ56" s="10">
        <v>14</v>
      </c>
    </row>
    <row r="57" spans="1:43" ht="14.65" customHeight="1">
      <c r="O57" s="60"/>
      <c r="S57" s="195"/>
      <c r="T57" s="1282"/>
      <c r="U57" s="1282"/>
      <c r="V57" s="1282"/>
      <c r="W57" s="1282"/>
      <c r="X57" s="1282"/>
      <c r="Y57" s="1282"/>
      <c r="Z57" s="1282"/>
      <c r="AA57" s="1282"/>
      <c r="AB57" s="1282"/>
      <c r="AC57" s="1282"/>
      <c r="AD57" s="1282"/>
      <c r="AE57" s="1282"/>
      <c r="AF57" s="1282"/>
      <c r="AG57" s="1282"/>
      <c r="AH57" s="1282"/>
      <c r="AI57" s="1282"/>
      <c r="AJ57" s="1282"/>
      <c r="AK57" s="1282"/>
      <c r="AQ57" s="10">
        <v>14</v>
      </c>
    </row>
    <row r="58" spans="1:43" ht="22.5" hidden="1" customHeight="1">
      <c r="A58" s="60" t="s">
        <v>80</v>
      </c>
      <c r="B58" s="60">
        <v>0</v>
      </c>
      <c r="C58" s="60">
        <v>0</v>
      </c>
      <c r="D58" s="60">
        <v>0</v>
      </c>
      <c r="E58" s="60">
        <v>0</v>
      </c>
      <c r="F58" s="60">
        <v>0</v>
      </c>
      <c r="G58" s="60">
        <v>0</v>
      </c>
      <c r="H58" s="60">
        <v>0</v>
      </c>
      <c r="I58" s="60">
        <v>0</v>
      </c>
      <c r="J58" s="60">
        <v>0</v>
      </c>
      <c r="K58" s="60">
        <v>0</v>
      </c>
      <c r="L58" s="298">
        <v>0</v>
      </c>
      <c r="M58" s="503">
        <v>0</v>
      </c>
      <c r="N58" s="503">
        <v>0</v>
      </c>
      <c r="O58" s="503">
        <v>0</v>
      </c>
      <c r="P58" s="32">
        <v>3</v>
      </c>
      <c r="Q58" s="28">
        <v>3</v>
      </c>
      <c r="R58" s="28">
        <v>3</v>
      </c>
      <c r="S58" s="339">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8" hidden="1" customWidth="1"/>
    <col min="13" max="14" width="12.28515625" style="503" hidden="1" customWidth="1"/>
    <col min="15" max="15" width="23.42578125" style="503" hidden="1" customWidth="1"/>
    <col min="16" max="16" width="3" style="32" customWidth="1"/>
    <col min="17" max="18" width="3" style="28" customWidth="1"/>
    <col min="19" max="19" width="12" style="339"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66"/>
      <c r="B2" s="766"/>
      <c r="C2" s="766"/>
      <c r="D2" s="766"/>
      <c r="E2" s="1283">
        <v>1</v>
      </c>
      <c r="F2" s="766"/>
      <c r="G2" s="766"/>
      <c r="H2" s="766"/>
      <c r="I2" s="766"/>
      <c r="J2" s="766"/>
      <c r="K2" s="766"/>
      <c r="L2" s="767"/>
      <c r="M2" s="423"/>
      <c r="N2" s="423"/>
      <c r="O2" s="423"/>
      <c r="Q2" s="33"/>
      <c r="R2" s="204"/>
      <c r="S2" s="706" t="e">
        <f>INDEX(PT_DIFFERENTIATION_NUM_NTAR,MATCH(A2,PT_DIFFERENTIATION_NTAR_ID,0))</f>
        <v>#N/A</v>
      </c>
      <c r="T2" s="64" t="s">
        <v>121</v>
      </c>
      <c r="U2" s="168"/>
      <c r="V2" s="1277"/>
      <c r="W2" s="1278"/>
      <c r="X2" s="1278"/>
      <c r="Y2" s="1278"/>
      <c r="Z2" s="1278"/>
      <c r="AA2" s="1278"/>
      <c r="AB2" s="1279"/>
      <c r="AC2" s="1277" t="e">
        <f>INDEX(PT_DIFFERENTIATION_NTAR,MATCH(A2,PT_DIFFERENTIATION_NTAR_ID,0))</f>
        <v>#N/A</v>
      </c>
      <c r="AD2" s="1278"/>
      <c r="AE2" s="1278"/>
      <c r="AF2" s="1278"/>
      <c r="AG2" s="1278"/>
      <c r="AH2" s="1278"/>
      <c r="AI2" s="1278"/>
      <c r="AJ2" s="1279"/>
      <c r="AK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66"/>
      <c r="B3" s="766"/>
      <c r="C3" s="766"/>
      <c r="D3" s="766"/>
      <c r="E3" s="1284"/>
      <c r="F3" s="1283">
        <v>1</v>
      </c>
      <c r="G3" s="766"/>
      <c r="H3" s="766"/>
      <c r="I3" s="766"/>
      <c r="J3" s="766"/>
      <c r="K3" s="766"/>
      <c r="L3" s="767"/>
      <c r="M3" s="423"/>
      <c r="N3" s="423"/>
      <c r="O3" s="423"/>
      <c r="P3" s="56"/>
      <c r="Q3" s="201"/>
      <c r="R3" s="202"/>
      <c r="S3" s="706" t="e">
        <f>INDEX(PT_DIFFERENTIATION_NUM_TER,MATCH(B3,PT_DIFFERENTIATION_TER_ID,0))</f>
        <v>#N/A</v>
      </c>
      <c r="T3" s="174" t="s">
        <v>397</v>
      </c>
      <c r="U3" s="168"/>
      <c r="V3" s="1277"/>
      <c r="W3" s="1278"/>
      <c r="X3" s="1278"/>
      <c r="Y3" s="1278"/>
      <c r="Z3" s="1278"/>
      <c r="AA3" s="1278"/>
      <c r="AB3" s="1279"/>
      <c r="AC3" s="1277" t="e">
        <f>INDEX(PT_DIFFERENTIATION_TER,MATCH(B3,PT_DIFFERENTIATION_TER_ID,0))</f>
        <v>#N/A</v>
      </c>
      <c r="AD3" s="1278"/>
      <c r="AE3" s="1278"/>
      <c r="AF3" s="1278"/>
      <c r="AG3" s="1278"/>
      <c r="AH3" s="1278"/>
      <c r="AI3" s="1278"/>
      <c r="AJ3" s="1279"/>
      <c r="AK3" s="726" t="s">
        <v>398</v>
      </c>
      <c r="AM3" s="66"/>
      <c r="AN3" s="66" t="str">
        <f t="shared" si="0"/>
        <v>Территория действия тарифа</v>
      </c>
      <c r="AO3" s="66"/>
      <c r="AP3" s="66"/>
      <c r="AQ3" s="10">
        <v>0</v>
      </c>
    </row>
    <row r="4" spans="1:43" ht="23.25" hidden="1" customHeight="1">
      <c r="A4" s="766"/>
      <c r="B4" s="766"/>
      <c r="C4" s="766"/>
      <c r="D4" s="766"/>
      <c r="E4" s="1284"/>
      <c r="F4" s="1284"/>
      <c r="G4" s="1283">
        <v>1</v>
      </c>
      <c r="H4" s="766"/>
      <c r="I4" s="766"/>
      <c r="J4" s="766"/>
      <c r="K4" s="766"/>
      <c r="L4" s="767"/>
      <c r="M4" s="423"/>
      <c r="N4" s="423"/>
      <c r="O4" s="423"/>
      <c r="P4" s="203"/>
      <c r="Q4" s="201"/>
      <c r="R4" s="202"/>
      <c r="S4" s="706" t="e">
        <f>INDEX(PT_DIFFERENTIATION_NUM_CS,MATCH(C4,PT_DIFFERENTIATION_CS_ID,0))</f>
        <v>#N/A</v>
      </c>
      <c r="T4" s="175" t="s">
        <v>478</v>
      </c>
      <c r="U4" s="168"/>
      <c r="V4" s="1277"/>
      <c r="W4" s="1278"/>
      <c r="X4" s="1278"/>
      <c r="Y4" s="1278"/>
      <c r="Z4" s="1278"/>
      <c r="AA4" s="1278"/>
      <c r="AB4" s="1279"/>
      <c r="AC4" s="1277" t="e">
        <f>INDEX(PT_DIFFERENTIATION_CS,MATCH(C4,PT_DIFFERENTIATION_CS_ID,0))</f>
        <v>#N/A</v>
      </c>
      <c r="AD4" s="1278"/>
      <c r="AE4" s="1278"/>
      <c r="AF4" s="1278"/>
      <c r="AG4" s="1278"/>
      <c r="AH4" s="1278"/>
      <c r="AI4" s="1278"/>
      <c r="AJ4" s="1279"/>
      <c r="AK4" s="726" t="s">
        <v>479</v>
      </c>
      <c r="AM4" s="66"/>
      <c r="AN4" s="66" t="str">
        <f t="shared" si="0"/>
        <v>Наименование централизованной системы холодного водоснабжения</v>
      </c>
      <c r="AO4" s="66"/>
      <c r="AP4" s="66"/>
      <c r="AQ4" s="10">
        <v>0</v>
      </c>
    </row>
    <row r="5" spans="1:43" ht="23.25" hidden="1" customHeight="1">
      <c r="A5" s="766"/>
      <c r="B5" s="766"/>
      <c r="C5" s="766"/>
      <c r="D5" s="766"/>
      <c r="E5" s="1284"/>
      <c r="F5" s="1284"/>
      <c r="G5" s="1284"/>
      <c r="H5" s="1284"/>
      <c r="I5" s="1285" t="e">
        <f>S4&amp;".1"</f>
        <v>#N/A</v>
      </c>
      <c r="J5" s="766"/>
      <c r="K5" s="766"/>
      <c r="L5" s="767"/>
      <c r="P5" s="1287">
        <v>1</v>
      </c>
      <c r="Q5" s="119"/>
      <c r="R5" s="205"/>
      <c r="S5" s="706" t="e">
        <f>$I5</f>
        <v>#N/A</v>
      </c>
      <c r="T5" s="161" t="s">
        <v>480</v>
      </c>
      <c r="U5" s="168"/>
      <c r="V5" s="1351"/>
      <c r="W5" s="1352"/>
      <c r="X5" s="1352"/>
      <c r="Y5" s="1352"/>
      <c r="Z5" s="1352"/>
      <c r="AA5" s="1352"/>
      <c r="AB5" s="1353"/>
      <c r="AC5" s="1354"/>
      <c r="AD5" s="1355"/>
      <c r="AE5" s="1355"/>
      <c r="AF5" s="1355"/>
      <c r="AG5" s="1355"/>
      <c r="AH5" s="1355"/>
      <c r="AI5" s="1355"/>
      <c r="AJ5" s="1356"/>
      <c r="AK5" s="726" t="s">
        <v>481</v>
      </c>
      <c r="AM5" s="66"/>
      <c r="AN5" s="66" t="str">
        <f t="shared" si="0"/>
        <v>Наименование признака дифференциации</v>
      </c>
      <c r="AO5" s="66"/>
      <c r="AP5" s="66"/>
      <c r="AQ5" s="10">
        <v>0</v>
      </c>
    </row>
    <row r="6" spans="1:43" ht="23.25" hidden="1" customHeight="1">
      <c r="A6" s="766"/>
      <c r="B6" s="766"/>
      <c r="C6" s="766"/>
      <c r="D6" s="766"/>
      <c r="E6" s="1284"/>
      <c r="F6" s="1284"/>
      <c r="G6" s="1284"/>
      <c r="H6" s="1284"/>
      <c r="I6" s="1286"/>
      <c r="J6" s="1285" t="e">
        <f>I5&amp;".1"</f>
        <v>#N/A</v>
      </c>
      <c r="K6" s="766"/>
      <c r="L6" s="767" t="s">
        <v>406</v>
      </c>
      <c r="P6" s="1287"/>
      <c r="Q6" s="1287">
        <v>1</v>
      </c>
      <c r="R6" s="206"/>
      <c r="S6" s="706" t="e">
        <f>$J6</f>
        <v>#N/A</v>
      </c>
      <c r="T6" s="162" t="s">
        <v>407</v>
      </c>
      <c r="U6" s="168"/>
      <c r="V6" s="1271"/>
      <c r="W6" s="1272"/>
      <c r="X6" s="1272"/>
      <c r="Y6" s="1272"/>
      <c r="Z6" s="1272"/>
      <c r="AA6" s="1272"/>
      <c r="AB6" s="1273"/>
      <c r="AC6" s="1271"/>
      <c r="AD6" s="1272"/>
      <c r="AE6" s="1272"/>
      <c r="AF6" s="1272"/>
      <c r="AG6" s="1272"/>
      <c r="AH6" s="1272"/>
      <c r="AI6" s="1272"/>
      <c r="AJ6" s="1273"/>
      <c r="AK6" s="750" t="s">
        <v>482</v>
      </c>
      <c r="AM6" s="66"/>
      <c r="AN6" s="66" t="str">
        <f t="shared" si="0"/>
        <v>Группа потребителей</v>
      </c>
      <c r="AO6" s="66"/>
      <c r="AP6" s="66"/>
      <c r="AQ6" s="10">
        <v>0</v>
      </c>
    </row>
    <row r="7" spans="1:43" ht="23.25" hidden="1" customHeight="1">
      <c r="A7" s="766"/>
      <c r="B7" s="766"/>
      <c r="C7" s="766"/>
      <c r="D7" s="766"/>
      <c r="E7" s="1284"/>
      <c r="F7" s="1284"/>
      <c r="G7" s="1284"/>
      <c r="H7" s="1284"/>
      <c r="I7" s="1286"/>
      <c r="J7" s="1286"/>
      <c r="K7" s="1285" t="e">
        <f>J6&amp;".1"</f>
        <v>#N/A</v>
      </c>
      <c r="L7" s="767"/>
      <c r="P7" s="1287"/>
      <c r="Q7" s="1287"/>
      <c r="R7" s="206">
        <v>1</v>
      </c>
      <c r="S7" s="706" t="e">
        <f>$K7</f>
        <v>#N/A</v>
      </c>
      <c r="T7" s="810"/>
      <c r="U7" s="168"/>
      <c r="V7" s="303"/>
      <c r="W7" s="303"/>
      <c r="X7" s="725"/>
      <c r="Y7" s="1288"/>
      <c r="Z7" s="1156" t="s">
        <v>64</v>
      </c>
      <c r="AA7" s="1288"/>
      <c r="AB7" s="1156" t="s">
        <v>64</v>
      </c>
      <c r="AC7" s="303"/>
      <c r="AD7" s="303"/>
      <c r="AE7" s="725"/>
      <c r="AF7" s="1288"/>
      <c r="AG7" s="1156" t="s">
        <v>64</v>
      </c>
      <c r="AH7" s="1290"/>
      <c r="AI7" s="1156" t="s">
        <v>64</v>
      </c>
      <c r="AJ7" s="811"/>
      <c r="AK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66"/>
      <c r="B8" s="766"/>
      <c r="C8" s="766"/>
      <c r="D8" s="766"/>
      <c r="E8" s="1284"/>
      <c r="F8" s="1284"/>
      <c r="G8" s="1284"/>
      <c r="H8" s="1284"/>
      <c r="I8" s="1286"/>
      <c r="J8" s="1286"/>
      <c r="K8" s="1285"/>
      <c r="L8" s="767"/>
      <c r="P8" s="1287"/>
      <c r="Q8" s="1287"/>
      <c r="R8" s="206"/>
      <c r="S8" s="62"/>
      <c r="T8" s="168"/>
      <c r="U8" s="168"/>
      <c r="V8" s="188"/>
      <c r="W8" s="188"/>
      <c r="X8" s="189" t="str">
        <f>Y7&amp;"-"&amp;AA7</f>
        <v>-</v>
      </c>
      <c r="Y8" s="1289"/>
      <c r="Z8" s="1156"/>
      <c r="AA8" s="1289"/>
      <c r="AB8" s="1156"/>
      <c r="AC8" s="188"/>
      <c r="AD8" s="188"/>
      <c r="AE8" s="189" t="str">
        <f>AF7&amp;"-"&amp;AH7</f>
        <v>-</v>
      </c>
      <c r="AF8" s="1289"/>
      <c r="AG8" s="1156"/>
      <c r="AH8" s="1291"/>
      <c r="AI8" s="1156"/>
      <c r="AJ8" s="385"/>
      <c r="AK8" s="1357"/>
      <c r="AM8" s="66"/>
      <c r="AN8" s="66" t="str">
        <f t="shared" si="0"/>
        <v/>
      </c>
      <c r="AO8" s="66"/>
      <c r="AP8" s="66"/>
      <c r="AQ8" s="10">
        <v>0</v>
      </c>
    </row>
    <row r="9" spans="1:43" ht="21" hidden="1" customHeight="1">
      <c r="A9" s="766"/>
      <c r="B9" s="766"/>
      <c r="C9" s="766"/>
      <c r="D9" s="766"/>
      <c r="E9" s="1284"/>
      <c r="F9" s="1284"/>
      <c r="G9" s="1284"/>
      <c r="H9" s="1284"/>
      <c r="I9" s="1286"/>
      <c r="J9" s="1285"/>
      <c r="K9" s="766"/>
      <c r="L9" s="767"/>
      <c r="P9" s="1287"/>
      <c r="Q9" s="1287"/>
      <c r="R9" s="205"/>
      <c r="S9" s="739"/>
      <c r="T9" s="163" t="s">
        <v>483</v>
      </c>
      <c r="U9" s="210"/>
      <c r="V9" s="210"/>
      <c r="W9" s="210"/>
      <c r="X9" s="210"/>
      <c r="Y9" s="210"/>
      <c r="Z9" s="210"/>
      <c r="AA9" s="210"/>
      <c r="AB9" s="210"/>
      <c r="AC9" s="210"/>
      <c r="AD9" s="210"/>
      <c r="AE9" s="210"/>
      <c r="AF9" s="210"/>
      <c r="AG9" s="210"/>
      <c r="AH9" s="210"/>
      <c r="AI9" s="210"/>
      <c r="AJ9" s="210"/>
      <c r="AK9" s="726" t="s">
        <v>484</v>
      </c>
      <c r="AM9" s="66"/>
      <c r="AN9" s="66" t="str">
        <f t="shared" si="0"/>
        <v>Добавить значение признака дифференциации</v>
      </c>
      <c r="AO9" s="66"/>
      <c r="AP9" s="66"/>
      <c r="AQ9" s="10">
        <v>0</v>
      </c>
    </row>
    <row r="10" spans="1:43" ht="21" hidden="1" customHeight="1">
      <c r="A10" s="766"/>
      <c r="B10" s="766"/>
      <c r="C10" s="766"/>
      <c r="D10" s="766"/>
      <c r="E10" s="1284"/>
      <c r="F10" s="1284"/>
      <c r="G10" s="1284"/>
      <c r="H10" s="1284"/>
      <c r="I10" s="1285"/>
      <c r="J10" s="766"/>
      <c r="K10" s="766"/>
      <c r="L10" s="767"/>
      <c r="P10" s="1287"/>
      <c r="Q10" s="119"/>
      <c r="R10" s="205"/>
      <c r="S10" s="739"/>
      <c r="T10" s="208" t="s">
        <v>412</v>
      </c>
      <c r="U10" s="210"/>
      <c r="V10" s="210"/>
      <c r="W10" s="210"/>
      <c r="X10" s="210"/>
      <c r="Y10" s="210"/>
      <c r="Z10" s="210"/>
      <c r="AA10" s="210"/>
      <c r="AB10" s="209"/>
      <c r="AC10" s="210"/>
      <c r="AD10" s="210"/>
      <c r="AE10" s="210"/>
      <c r="AF10" s="210"/>
      <c r="AG10" s="210"/>
      <c r="AH10" s="210"/>
      <c r="AI10" s="209"/>
      <c r="AJ10" s="210"/>
      <c r="AK10" s="812"/>
      <c r="AM10" s="66"/>
      <c r="AN10" s="66" t="str">
        <f t="shared" si="0"/>
        <v>Добавить группу потребителей</v>
      </c>
      <c r="AO10" s="66"/>
      <c r="AP10" s="66"/>
      <c r="AQ10" s="10">
        <v>0</v>
      </c>
    </row>
    <row r="11" spans="1:43" ht="21" hidden="1" customHeight="1">
      <c r="A11" s="766"/>
      <c r="B11" s="766"/>
      <c r="C11" s="766"/>
      <c r="D11" s="766"/>
      <c r="E11" s="1284"/>
      <c r="F11" s="1284"/>
      <c r="G11" s="1284"/>
      <c r="H11" s="1283"/>
      <c r="I11" s="766"/>
      <c r="J11" s="766"/>
      <c r="K11" s="766"/>
      <c r="L11" s="767"/>
      <c r="M11" s="423"/>
      <c r="N11" s="423"/>
      <c r="O11" s="60"/>
      <c r="P11" s="33"/>
      <c r="Q11" s="213"/>
      <c r="R11" s="204"/>
      <c r="S11" s="739"/>
      <c r="T11" s="104" t="s">
        <v>485</v>
      </c>
      <c r="U11" s="210"/>
      <c r="V11" s="210"/>
      <c r="W11" s="210"/>
      <c r="X11" s="210"/>
      <c r="Y11" s="210"/>
      <c r="Z11" s="210"/>
      <c r="AA11" s="210"/>
      <c r="AB11" s="209"/>
      <c r="AC11" s="210"/>
      <c r="AD11" s="210"/>
      <c r="AE11" s="210"/>
      <c r="AF11" s="210"/>
      <c r="AG11" s="210"/>
      <c r="AH11" s="210"/>
      <c r="AI11" s="209"/>
      <c r="AJ11" s="210"/>
      <c r="AK11" s="171"/>
      <c r="AM11" s="66"/>
      <c r="AN11" s="66" t="str">
        <f t="shared" si="0"/>
        <v>Добавить наименование признака дифференциации</v>
      </c>
      <c r="AO11" s="66"/>
      <c r="AP11" s="66"/>
      <c r="AQ11" s="10">
        <v>0</v>
      </c>
    </row>
    <row r="12" spans="1:43" s="65" customFormat="1" ht="14.25" hidden="1" customHeight="1">
      <c r="A12" s="142"/>
      <c r="B12" s="142"/>
      <c r="C12" s="142"/>
      <c r="D12" s="142"/>
      <c r="E12" s="1284"/>
      <c r="F12" s="1283"/>
      <c r="G12" s="142"/>
      <c r="H12" s="142"/>
      <c r="I12" s="142"/>
      <c r="J12" s="142"/>
      <c r="K12" s="142"/>
      <c r="L12" s="343"/>
      <c r="M12" s="756"/>
      <c r="N12" s="756"/>
      <c r="P12" s="101"/>
      <c r="Q12" s="752"/>
      <c r="R12" s="101"/>
      <c r="S12" s="757"/>
      <c r="T12" s="759" t="s">
        <v>231</v>
      </c>
      <c r="U12" s="310"/>
      <c r="V12" s="310"/>
      <c r="W12" s="310"/>
      <c r="X12" s="310"/>
      <c r="Y12" s="310"/>
      <c r="Z12" s="310"/>
      <c r="AA12" s="310"/>
      <c r="AB12" s="310"/>
      <c r="AC12" s="310"/>
      <c r="AD12" s="310"/>
      <c r="AE12" s="310"/>
      <c r="AF12" s="310"/>
      <c r="AG12" s="310"/>
      <c r="AH12" s="310"/>
      <c r="AI12" s="310"/>
      <c r="AJ12" s="310"/>
      <c r="AK12" s="310"/>
      <c r="AM12" s="66"/>
      <c r="AN12" s="66" t="str">
        <f t="shared" si="0"/>
        <v>Добавить централизованную систему для дифференциации</v>
      </c>
      <c r="AO12" s="66"/>
      <c r="AP12" s="66"/>
      <c r="AQ12" s="65">
        <v>0</v>
      </c>
    </row>
    <row r="13" spans="1:43" s="65" customFormat="1" ht="14.25" hidden="1" customHeight="1">
      <c r="A13" s="142"/>
      <c r="B13" s="142"/>
      <c r="C13" s="142"/>
      <c r="D13" s="142"/>
      <c r="E13" s="1283"/>
      <c r="F13" s="142"/>
      <c r="G13" s="142"/>
      <c r="H13" s="142"/>
      <c r="I13" s="142"/>
      <c r="J13" s="142"/>
      <c r="K13" s="142"/>
      <c r="L13" s="343"/>
      <c r="M13" s="756"/>
      <c r="N13" s="756"/>
      <c r="P13" s="101"/>
      <c r="Q13" s="752"/>
      <c r="R13" s="101"/>
      <c r="S13" s="757"/>
      <c r="T13" s="759" t="s">
        <v>232</v>
      </c>
      <c r="U13" s="310"/>
      <c r="V13" s="310"/>
      <c r="W13" s="310"/>
      <c r="X13" s="310"/>
      <c r="Y13" s="310"/>
      <c r="Z13" s="310"/>
      <c r="AA13" s="310"/>
      <c r="AB13" s="310"/>
      <c r="AC13" s="310"/>
      <c r="AD13" s="310"/>
      <c r="AE13" s="310"/>
      <c r="AF13" s="310"/>
      <c r="AG13" s="310"/>
      <c r="AH13" s="310"/>
      <c r="AI13" s="310"/>
      <c r="AJ13" s="310"/>
      <c r="AK13" s="310"/>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5"/>
      <c r="AD15" s="365"/>
      <c r="AE15" s="765"/>
      <c r="AF15" s="1281"/>
      <c r="AG15" s="1280" t="s">
        <v>64</v>
      </c>
      <c r="AH15" s="1281"/>
      <c r="AI15" s="1280" t="s">
        <v>64</v>
      </c>
      <c r="AQ15" s="10">
        <v>0</v>
      </c>
    </row>
    <row r="16" spans="1:43" ht="14.25" hidden="1" customHeight="1">
      <c r="AC16" s="365"/>
      <c r="AD16" s="365"/>
      <c r="AE16" s="189" t="str">
        <f>AF15&amp;"-"&amp;AH15</f>
        <v>-</v>
      </c>
      <c r="AF16" s="1280"/>
      <c r="AG16" s="1280"/>
      <c r="AH16" s="1280"/>
      <c r="AI16" s="1280"/>
      <c r="AQ16" s="10">
        <v>0</v>
      </c>
    </row>
    <row r="17" spans="1:43" ht="14.25" hidden="1" customHeight="1">
      <c r="AQ17" s="10">
        <v>0</v>
      </c>
    </row>
    <row r="18" spans="1:43" s="60" customFormat="1" ht="22.5" hidden="1" customHeight="1">
      <c r="L18" s="298"/>
      <c r="M18" s="503"/>
      <c r="N18" s="503"/>
      <c r="O18" s="768" t="s">
        <v>415</v>
      </c>
      <c r="P18" s="503"/>
      <c r="Q18" s="769"/>
      <c r="R18" s="769"/>
      <c r="S18" s="423"/>
      <c r="Y18" s="768"/>
      <c r="AA18" s="768"/>
      <c r="AF18" s="768"/>
      <c r="AH18" s="768"/>
      <c r="AL18" s="65"/>
      <c r="AM18" s="65"/>
      <c r="AN18" s="65"/>
      <c r="AO18" s="65"/>
      <c r="AP18" s="65"/>
      <c r="AQ18" s="60">
        <v>0</v>
      </c>
    </row>
    <row r="19" spans="1:43" s="60" customFormat="1" ht="14.25" hidden="1" customHeight="1">
      <c r="L19" s="298"/>
      <c r="M19" s="503"/>
      <c r="N19" s="503"/>
      <c r="O19" s="503"/>
      <c r="P19" s="503"/>
      <c r="Q19" s="769"/>
      <c r="R19" s="769"/>
      <c r="S19" s="423"/>
      <c r="AL19" s="65"/>
      <c r="AM19" s="65"/>
      <c r="AN19" s="65"/>
      <c r="AO19" s="65"/>
      <c r="AP19" s="65"/>
      <c r="AQ19" s="60">
        <v>0</v>
      </c>
    </row>
    <row r="20" spans="1:43" s="60" customFormat="1" ht="12" hidden="1" customHeight="1">
      <c r="L20" s="298"/>
      <c r="M20" s="503"/>
      <c r="N20" s="503"/>
      <c r="O20" s="767" t="s">
        <v>416</v>
      </c>
      <c r="P20" s="503"/>
      <c r="Q20" s="813"/>
      <c r="R20" s="813"/>
      <c r="S20" s="423"/>
      <c r="T20" s="60" t="s">
        <v>417</v>
      </c>
      <c r="Z20" s="79" t="s">
        <v>418</v>
      </c>
      <c r="AB20" s="79" t="s">
        <v>419</v>
      </c>
      <c r="AC20" s="60" t="s">
        <v>417</v>
      </c>
      <c r="AG20" s="79" t="s">
        <v>420</v>
      </c>
      <c r="AI20" s="79" t="s">
        <v>419</v>
      </c>
      <c r="AQ20" s="60">
        <v>0</v>
      </c>
    </row>
    <row r="21" spans="1:43" ht="14.25" hidden="1" customHeight="1">
      <c r="O21" s="767"/>
      <c r="AQ21" s="10">
        <v>0</v>
      </c>
    </row>
    <row r="22" spans="1:43" ht="14.25" hidden="1" customHeight="1">
      <c r="O22" s="767"/>
      <c r="AQ22" s="10">
        <v>0</v>
      </c>
    </row>
    <row r="23" spans="1:43" ht="14.65" customHeight="1">
      <c r="Q23" s="27"/>
      <c r="R23" s="27"/>
      <c r="S23" s="736"/>
      <c r="T23" s="9"/>
      <c r="U23" s="9"/>
      <c r="AQ23" s="10">
        <v>14</v>
      </c>
    </row>
    <row r="24" spans="1:43" ht="14.65" customHeight="1">
      <c r="Q24" s="27"/>
      <c r="R24" s="27"/>
      <c r="S24" s="12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4"/>
      <c r="U24" s="1264"/>
      <c r="V24" s="1264"/>
      <c r="W24" s="1264"/>
      <c r="X24" s="1264"/>
      <c r="Y24" s="1264"/>
      <c r="Z24" s="1264"/>
      <c r="AA24" s="1264"/>
      <c r="AB24" s="1264"/>
      <c r="AC24" s="1264"/>
      <c r="AD24" s="1264"/>
      <c r="AE24" s="1264"/>
      <c r="AF24" s="1264"/>
      <c r="AG24" s="1264"/>
      <c r="AH24" s="1264"/>
      <c r="AI24" s="57"/>
      <c r="AQ24" s="10">
        <v>14</v>
      </c>
    </row>
    <row r="25" spans="1:43" ht="14.65" customHeight="1">
      <c r="Q25" s="27"/>
      <c r="R25" s="27"/>
      <c r="S25" s="1236" t="str">
        <f>IF(org=0,"Не определено",org)</f>
        <v>Общество с ограниченной ответственностью "Березовский рудник"</v>
      </c>
      <c r="T25" s="1236"/>
      <c r="U25" s="1236"/>
      <c r="V25" s="1236"/>
      <c r="W25" s="1236"/>
      <c r="X25" s="1236"/>
      <c r="Y25" s="1236"/>
      <c r="Z25" s="1236"/>
      <c r="AA25" s="1236"/>
      <c r="AB25" s="1236"/>
      <c r="AC25" s="1236"/>
      <c r="AD25" s="1236"/>
      <c r="AE25" s="1236"/>
      <c r="AF25" s="1236"/>
      <c r="AG25" s="1236"/>
      <c r="AH25" s="1236"/>
      <c r="AI25" s="57"/>
      <c r="AQ25" s="10">
        <v>14</v>
      </c>
    </row>
    <row r="26" spans="1:43" ht="14.25" hidden="1" customHeight="1">
      <c r="Q26" s="27"/>
      <c r="R26" s="27"/>
      <c r="S26" s="736"/>
      <c r="T26" s="9"/>
      <c r="U26" s="9"/>
      <c r="V26" s="186"/>
      <c r="W26" s="186"/>
      <c r="X26" s="186"/>
      <c r="Y26" s="186"/>
      <c r="Z26" s="186"/>
      <c r="AA26" s="186"/>
      <c r="AB26" s="186"/>
      <c r="AC26" s="186"/>
      <c r="AD26" s="186"/>
      <c r="AE26" s="186"/>
      <c r="AF26" s="186"/>
      <c r="AG26" s="186"/>
      <c r="AH26" s="186"/>
      <c r="AI26" s="186"/>
      <c r="AQ26" s="10">
        <v>0</v>
      </c>
    </row>
    <row r="27" spans="1:43" s="34" customFormat="1" ht="25.5" hidden="1" customHeight="1">
      <c r="A27" s="79"/>
      <c r="B27" s="79"/>
      <c r="C27" s="79"/>
      <c r="D27" s="79"/>
      <c r="E27" s="79"/>
      <c r="F27" s="79"/>
      <c r="G27" s="79"/>
      <c r="H27" s="79"/>
      <c r="I27" s="79"/>
      <c r="J27" s="79"/>
      <c r="K27" s="79"/>
      <c r="L27" s="767"/>
      <c r="M27" s="79"/>
      <c r="N27" s="79"/>
      <c r="O27" s="79"/>
      <c r="S27" s="1274" t="s">
        <v>41</v>
      </c>
      <c r="T27" s="1274"/>
      <c r="U27" s="770"/>
      <c r="V27" s="1276" t="str">
        <f>IF(TITLE_NAME_OR_PR_CHANGE="",IF(TITLE_NAME_OR_PR="","",TITLE_NAME_OR_PR),TITLE_NAME_OR_PR_CHANGE)</f>
        <v/>
      </c>
      <c r="W27" s="1276"/>
      <c r="X27" s="1276"/>
      <c r="Y27" s="1276"/>
      <c r="Z27" s="1276"/>
      <c r="AA27" s="1276"/>
      <c r="AB27" s="10"/>
      <c r="AC27" s="1276" t="str">
        <f>IF(TITLE_NAME_OR_PR_CHANGE="",IF(TITLE_NAME_OR_PR="","",TITLE_NAME_OR_PR),TITLE_NAME_OR_PR_CHANGE)</f>
        <v/>
      </c>
      <c r="AD27" s="1276"/>
      <c r="AE27" s="1276"/>
      <c r="AF27" s="1276"/>
      <c r="AG27" s="1276"/>
      <c r="AH27" s="1276"/>
      <c r="AI27" s="10"/>
      <c r="AJ27" s="10"/>
      <c r="AK27" s="160"/>
      <c r="AL27" s="66"/>
      <c r="AM27" s="66"/>
      <c r="AN27" s="66"/>
      <c r="AO27" s="66"/>
      <c r="AP27" s="66"/>
      <c r="AQ27" s="34">
        <v>0</v>
      </c>
    </row>
    <row r="28" spans="1:43" s="34" customFormat="1" ht="18.75" hidden="1" customHeight="1">
      <c r="A28" s="79"/>
      <c r="B28" s="79"/>
      <c r="C28" s="79"/>
      <c r="D28" s="79"/>
      <c r="E28" s="79"/>
      <c r="F28" s="79"/>
      <c r="G28" s="79"/>
      <c r="H28" s="79"/>
      <c r="I28" s="79"/>
      <c r="J28" s="79"/>
      <c r="K28" s="79"/>
      <c r="L28" s="767"/>
      <c r="M28" s="79"/>
      <c r="N28" s="79"/>
      <c r="O28" s="79"/>
      <c r="S28" s="1274" t="s">
        <v>421</v>
      </c>
      <c r="T28" s="1274"/>
      <c r="U28" s="770"/>
      <c r="V28" s="1275">
        <f>IF(TITLE_DATE_PR_CHANGE="",IF(TITLE_DATE_PR="","",TITLE_DATE_PR),TITLE_DATE_PR_CHANGE)</f>
        <v>45805</v>
      </c>
      <c r="W28" s="1275"/>
      <c r="X28" s="1275"/>
      <c r="Y28" s="1275"/>
      <c r="Z28" s="1275"/>
      <c r="AA28" s="1275"/>
      <c r="AB28" s="10"/>
      <c r="AC28" s="1275">
        <f>IF(TITLE_DATE_PR_CHANGE="",IF(TITLE_DATE_PR="","",TITLE_DATE_PR),TITLE_DATE_PR_CHANGE)</f>
        <v>45805</v>
      </c>
      <c r="AD28" s="1275"/>
      <c r="AE28" s="1275"/>
      <c r="AF28" s="1275"/>
      <c r="AG28" s="1275"/>
      <c r="AH28" s="1275"/>
      <c r="AI28" s="10"/>
      <c r="AJ28" s="10"/>
      <c r="AK28" s="160"/>
      <c r="AL28" s="66"/>
      <c r="AM28" s="66"/>
      <c r="AN28" s="66"/>
      <c r="AO28" s="66"/>
      <c r="AP28" s="66"/>
      <c r="AQ28" s="34">
        <v>0</v>
      </c>
    </row>
    <row r="29" spans="1:43" s="34" customFormat="1" ht="18.75" hidden="1" customHeight="1">
      <c r="A29" s="79"/>
      <c r="B29" s="79"/>
      <c r="C29" s="79"/>
      <c r="D29" s="79"/>
      <c r="E29" s="79"/>
      <c r="F29" s="79"/>
      <c r="G29" s="79"/>
      <c r="H29" s="79"/>
      <c r="I29" s="79"/>
      <c r="J29" s="79"/>
      <c r="K29" s="79"/>
      <c r="L29" s="767"/>
      <c r="M29" s="79"/>
      <c r="N29" s="79"/>
      <c r="O29" s="79"/>
      <c r="S29" s="1274" t="s">
        <v>422</v>
      </c>
      <c r="T29" s="1274"/>
      <c r="U29" s="770"/>
      <c r="V29" s="1276" t="str">
        <f>IF(TITLE_NUMBER_PR_CHANGE="",IF(TITLE_NUMBER_PR="","",TITLE_NUMBER_PR),TITLE_NUMBER_PR_CHANGE)</f>
        <v>2496</v>
      </c>
      <c r="W29" s="1276"/>
      <c r="X29" s="1276"/>
      <c r="Y29" s="1276"/>
      <c r="Z29" s="1276"/>
      <c r="AA29" s="1276"/>
      <c r="AB29" s="10"/>
      <c r="AC29" s="1276" t="str">
        <f>IF(TITLE_NUMBER_PR_CHANGE="",IF(TITLE_NUMBER_PR="","",TITLE_NUMBER_PR),TITLE_NUMBER_PR_CHANGE)</f>
        <v>2496</v>
      </c>
      <c r="AD29" s="1276"/>
      <c r="AE29" s="1276"/>
      <c r="AF29" s="1276"/>
      <c r="AG29" s="1276"/>
      <c r="AH29" s="1276"/>
      <c r="AI29" s="10"/>
      <c r="AJ29" s="10"/>
      <c r="AK29" s="160"/>
      <c r="AL29" s="66"/>
      <c r="AM29" s="66"/>
      <c r="AN29" s="66"/>
      <c r="AO29" s="66"/>
      <c r="AP29" s="66"/>
      <c r="AQ29" s="34">
        <v>0</v>
      </c>
    </row>
    <row r="30" spans="1:43" s="34" customFormat="1" ht="18.75" hidden="1" customHeight="1">
      <c r="A30" s="79"/>
      <c r="B30" s="79"/>
      <c r="C30" s="79"/>
      <c r="D30" s="79"/>
      <c r="E30" s="79"/>
      <c r="F30" s="79"/>
      <c r="G30" s="79"/>
      <c r="H30" s="79"/>
      <c r="I30" s="79"/>
      <c r="J30" s="79"/>
      <c r="K30" s="79"/>
      <c r="L30" s="767"/>
      <c r="M30" s="79"/>
      <c r="N30" s="79"/>
      <c r="O30" s="79"/>
      <c r="S30" s="1274" t="s">
        <v>42</v>
      </c>
      <c r="T30" s="1274"/>
      <c r="U30" s="770"/>
      <c r="V30" s="1276" t="str">
        <f>IF(TITLE_IST_PUB_CHANGE="",IF(TITLE_IST_PUB="","",TITLE_IST_PUB),TITLE_IST_PUB_CHANGE)</f>
        <v/>
      </c>
      <c r="W30" s="1276"/>
      <c r="X30" s="1276"/>
      <c r="Y30" s="1276"/>
      <c r="Z30" s="1276"/>
      <c r="AA30" s="1276"/>
      <c r="AB30" s="10"/>
      <c r="AC30" s="1276" t="str">
        <f>IF(TITLE_IST_PUB_CHANGE="",IF(TITLE_IST_PUB="","",TITLE_IST_PUB),TITLE_IST_PUB_CHANGE)</f>
        <v/>
      </c>
      <c r="AD30" s="1276"/>
      <c r="AE30" s="1276"/>
      <c r="AF30" s="1276"/>
      <c r="AG30" s="1276"/>
      <c r="AH30" s="1276"/>
      <c r="AI30" s="10"/>
      <c r="AJ30" s="10"/>
      <c r="AK30" s="160"/>
      <c r="AL30" s="66"/>
      <c r="AM30" s="66"/>
      <c r="AN30" s="66"/>
      <c r="AO30" s="66"/>
      <c r="AP30" s="66"/>
      <c r="AQ30" s="34">
        <v>0</v>
      </c>
    </row>
    <row r="31" spans="1:43" ht="14.25" customHeight="1">
      <c r="Q31" s="27"/>
      <c r="R31" s="27"/>
      <c r="S31" s="736"/>
      <c r="T31" s="9"/>
      <c r="U31" s="9"/>
      <c r="V31" s="186"/>
      <c r="W31" s="186"/>
      <c r="X31" s="186"/>
      <c r="Y31" s="186"/>
      <c r="Z31" s="186"/>
      <c r="AA31" s="186"/>
      <c r="AB31" s="186"/>
      <c r="AC31" s="186"/>
      <c r="AD31" s="186"/>
      <c r="AE31" s="186"/>
      <c r="AF31" s="186"/>
      <c r="AG31" s="186"/>
      <c r="AH31" s="186"/>
      <c r="AI31" s="186"/>
      <c r="AQ31" s="10">
        <v>0</v>
      </c>
    </row>
    <row r="32" spans="1:43" s="34" customFormat="1" ht="18.75" customHeight="1">
      <c r="A32" s="79"/>
      <c r="B32" s="79"/>
      <c r="C32" s="79"/>
      <c r="D32" s="79"/>
      <c r="E32" s="79"/>
      <c r="F32" s="79"/>
      <c r="G32" s="79"/>
      <c r="H32" s="79"/>
      <c r="I32" s="79"/>
      <c r="J32" s="79"/>
      <c r="K32" s="79"/>
      <c r="L32" s="767"/>
      <c r="M32" s="79"/>
      <c r="N32" s="79"/>
      <c r="O32" s="79"/>
      <c r="S32" s="1274" t="s">
        <v>423</v>
      </c>
      <c r="T32" s="1274"/>
      <c r="U32" s="770"/>
      <c r="V32" s="1275">
        <f>IF(TITLE_DATE_PR_CHANGE="",IF(TITLE_DATE_PR="","",TITLE_DATE_PR),TITLE_DATE_PR_CHANGE)</f>
        <v>45805</v>
      </c>
      <c r="W32" s="1275"/>
      <c r="X32" s="1275"/>
      <c r="Y32" s="1275"/>
      <c r="Z32" s="1275"/>
      <c r="AA32" s="1275"/>
      <c r="AB32" s="10"/>
      <c r="AC32" s="1275">
        <f>IF(TITLE_DATE_PR_CHANGE="",IF(TITLE_DATE_PR="","",TITLE_DATE_PR),TITLE_DATE_PR_CHANGE)</f>
        <v>45805</v>
      </c>
      <c r="AD32" s="1275"/>
      <c r="AE32" s="1275"/>
      <c r="AF32" s="1275"/>
      <c r="AG32" s="1275"/>
      <c r="AH32" s="1275"/>
      <c r="AI32" s="10"/>
      <c r="AJ32" s="10"/>
      <c r="AK32" s="160"/>
      <c r="AL32" s="66"/>
      <c r="AM32" s="66"/>
      <c r="AN32" s="66"/>
      <c r="AO32" s="66"/>
      <c r="AP32" s="66"/>
      <c r="AQ32" s="34">
        <v>0</v>
      </c>
    </row>
    <row r="33" spans="1:43" s="34" customFormat="1" ht="18.75" customHeight="1">
      <c r="A33" s="79"/>
      <c r="B33" s="79"/>
      <c r="C33" s="79"/>
      <c r="D33" s="79"/>
      <c r="E33" s="79"/>
      <c r="F33" s="79"/>
      <c r="G33" s="79"/>
      <c r="H33" s="79"/>
      <c r="I33" s="79"/>
      <c r="J33" s="79"/>
      <c r="K33" s="79"/>
      <c r="L33" s="767"/>
      <c r="M33" s="79"/>
      <c r="N33" s="79"/>
      <c r="O33" s="79"/>
      <c r="S33" s="1274" t="s">
        <v>424</v>
      </c>
      <c r="T33" s="1274"/>
      <c r="U33" s="770"/>
      <c r="V33" s="1276" t="str">
        <f>IF(TITLE_NUMBER_PR_CHANGE="",IF(TITLE_NUMBER_PR="","",TITLE_NUMBER_PR),TITLE_NUMBER_PR_CHANGE)</f>
        <v>2496</v>
      </c>
      <c r="W33" s="1276"/>
      <c r="X33" s="1276"/>
      <c r="Y33" s="1276"/>
      <c r="Z33" s="1276"/>
      <c r="AA33" s="1276"/>
      <c r="AB33" s="10"/>
      <c r="AC33" s="1276" t="str">
        <f>IF(TITLE_NUMBER_PR_CHANGE="",IF(TITLE_NUMBER_PR="","",TITLE_NUMBER_PR),TITLE_NUMBER_PR_CHANGE)</f>
        <v>2496</v>
      </c>
      <c r="AD33" s="1276"/>
      <c r="AE33" s="1276"/>
      <c r="AF33" s="1276"/>
      <c r="AG33" s="1276"/>
      <c r="AH33" s="1276"/>
      <c r="AI33" s="10"/>
      <c r="AJ33" s="10"/>
      <c r="AK33" s="160"/>
      <c r="AL33" s="66"/>
      <c r="AM33" s="66"/>
      <c r="AN33" s="66"/>
      <c r="AO33" s="66"/>
      <c r="AP33" s="66"/>
      <c r="AQ33" s="34">
        <v>0</v>
      </c>
    </row>
    <row r="34" spans="1:43" s="34" customFormat="1" ht="1.1499999999999999" customHeight="1">
      <c r="A34" s="79"/>
      <c r="B34" s="79"/>
      <c r="C34" s="79"/>
      <c r="D34" s="79"/>
      <c r="E34" s="79"/>
      <c r="F34" s="79"/>
      <c r="G34" s="79"/>
      <c r="H34" s="79"/>
      <c r="I34" s="79"/>
      <c r="J34" s="79"/>
      <c r="K34" s="79"/>
      <c r="L34" s="767"/>
      <c r="M34" s="79"/>
      <c r="N34" s="79"/>
      <c r="O34" s="79"/>
      <c r="S34" s="10"/>
      <c r="T34" s="10"/>
      <c r="U34" s="75"/>
      <c r="V34" s="10"/>
      <c r="W34" s="10"/>
      <c r="X34" s="10"/>
      <c r="Y34" s="10"/>
      <c r="Z34" s="10"/>
      <c r="AA34" s="10"/>
      <c r="AB34" s="65" t="s">
        <v>425</v>
      </c>
      <c r="AC34" s="10"/>
      <c r="AD34" s="10"/>
      <c r="AE34" s="10"/>
      <c r="AF34" s="10"/>
      <c r="AG34" s="10"/>
      <c r="AH34" s="10"/>
      <c r="AI34" s="65" t="s">
        <v>425</v>
      </c>
      <c r="AL34" s="66"/>
      <c r="AM34" s="66"/>
      <c r="AN34" s="66"/>
      <c r="AO34" s="66"/>
      <c r="AP34" s="66"/>
      <c r="AQ34" s="34">
        <v>1</v>
      </c>
    </row>
    <row r="35" spans="1:43" ht="14.65" customHeight="1">
      <c r="Q35" s="27"/>
      <c r="R35" s="27"/>
      <c r="S35" s="736"/>
      <c r="T35" s="9"/>
      <c r="U35" s="717"/>
      <c r="V35" s="1295"/>
      <c r="W35" s="1295"/>
      <c r="X35" s="1295"/>
      <c r="Y35" s="1295"/>
      <c r="Z35" s="1295"/>
      <c r="AA35" s="1295"/>
      <c r="AB35" s="1295"/>
      <c r="AC35" s="1295"/>
      <c r="AD35" s="1295"/>
      <c r="AE35" s="1295"/>
      <c r="AF35" s="1295"/>
      <c r="AG35" s="1295"/>
      <c r="AH35" s="1295"/>
      <c r="AI35" s="1295"/>
      <c r="AQ35" s="10">
        <v>14</v>
      </c>
    </row>
    <row r="36" spans="1:43" ht="14.65" customHeight="1">
      <c r="Q36" s="27"/>
      <c r="R36" s="27"/>
      <c r="S36" s="1146" t="s">
        <v>300</v>
      </c>
      <c r="T36" s="1146"/>
      <c r="U36" s="1146"/>
      <c r="V36" s="1146"/>
      <c r="W36" s="1146"/>
      <c r="X36" s="1146"/>
      <c r="Y36" s="1146"/>
      <c r="Z36" s="1146"/>
      <c r="AA36" s="1146"/>
      <c r="AB36" s="1146"/>
      <c r="AC36" s="1146"/>
      <c r="AD36" s="1146"/>
      <c r="AE36" s="1146"/>
      <c r="AF36" s="1146"/>
      <c r="AG36" s="1146"/>
      <c r="AH36" s="1146"/>
      <c r="AI36" s="1146"/>
      <c r="AJ36" s="1146"/>
      <c r="AK36" s="1146" t="s">
        <v>301</v>
      </c>
      <c r="AQ36" s="10">
        <v>14</v>
      </c>
    </row>
    <row r="37" spans="1:43" ht="14.65" customHeight="1">
      <c r="Q37" s="27"/>
      <c r="R37" s="27"/>
      <c r="S37" s="1296" t="s">
        <v>86</v>
      </c>
      <c r="T37" s="1244" t="s">
        <v>426</v>
      </c>
      <c r="U37" s="169"/>
      <c r="V37" s="1297" t="s">
        <v>427</v>
      </c>
      <c r="W37" s="1298"/>
      <c r="X37" s="1298"/>
      <c r="Y37" s="1298"/>
      <c r="Z37" s="1298"/>
      <c r="AA37" s="1299"/>
      <c r="AB37" s="1300" t="s">
        <v>428</v>
      </c>
      <c r="AC37" s="1297" t="s">
        <v>427</v>
      </c>
      <c r="AD37" s="1298"/>
      <c r="AE37" s="1298"/>
      <c r="AF37" s="1298"/>
      <c r="AG37" s="1298"/>
      <c r="AH37" s="1299"/>
      <c r="AI37" s="1300" t="s">
        <v>429</v>
      </c>
      <c r="AJ37" s="1303" t="s">
        <v>430</v>
      </c>
      <c r="AK37" s="1146"/>
      <c r="AQ37" s="10">
        <v>14</v>
      </c>
    </row>
    <row r="38" spans="1:43" ht="35.65" customHeight="1">
      <c r="Q38" s="27"/>
      <c r="R38" s="27"/>
      <c r="S38" s="1296"/>
      <c r="T38" s="1244"/>
      <c r="U38" s="604"/>
      <c r="V38" s="337" t="s">
        <v>486</v>
      </c>
      <c r="W38" s="1128" t="s">
        <v>433</v>
      </c>
      <c r="X38" s="1127"/>
      <c r="Y38" s="1128" t="s">
        <v>434</v>
      </c>
      <c r="Z38" s="1133"/>
      <c r="AA38" s="1127"/>
      <c r="AB38" s="1301"/>
      <c r="AC38" s="337" t="s">
        <v>486</v>
      </c>
      <c r="AD38" s="1128" t="s">
        <v>433</v>
      </c>
      <c r="AE38" s="1127"/>
      <c r="AF38" s="1128" t="s">
        <v>434</v>
      </c>
      <c r="AG38" s="1133"/>
      <c r="AH38" s="1127"/>
      <c r="AI38" s="1301"/>
      <c r="AJ38" s="1304"/>
      <c r="AK38" s="1146"/>
      <c r="AQ38" s="10">
        <v>34</v>
      </c>
    </row>
    <row r="39" spans="1:43" ht="35.65" customHeight="1">
      <c r="A39" s="79"/>
      <c r="B39" s="79" t="s">
        <v>133</v>
      </c>
      <c r="C39" s="79" t="s">
        <v>134</v>
      </c>
      <c r="D39" s="79" t="s">
        <v>135</v>
      </c>
      <c r="E39" s="767" t="s">
        <v>435</v>
      </c>
      <c r="F39" s="767" t="s">
        <v>436</v>
      </c>
      <c r="G39" s="767" t="s">
        <v>437</v>
      </c>
      <c r="H39" s="767"/>
      <c r="I39" s="767" t="s">
        <v>487</v>
      </c>
      <c r="J39" s="767" t="s">
        <v>440</v>
      </c>
      <c r="K39" s="767" t="s">
        <v>488</v>
      </c>
      <c r="L39" s="767" t="s">
        <v>416</v>
      </c>
      <c r="Q39" s="27"/>
      <c r="R39" s="27"/>
      <c r="S39" s="1296"/>
      <c r="T39" s="1244"/>
      <c r="U39" s="170"/>
      <c r="V39" s="337" t="s">
        <v>489</v>
      </c>
      <c r="W39" s="38" t="s">
        <v>490</v>
      </c>
      <c r="X39" s="38" t="s">
        <v>491</v>
      </c>
      <c r="Y39" s="38" t="s">
        <v>444</v>
      </c>
      <c r="Z39" s="1249" t="s">
        <v>445</v>
      </c>
      <c r="AA39" s="1263"/>
      <c r="AB39" s="1302"/>
      <c r="AC39" s="337" t="s">
        <v>489</v>
      </c>
      <c r="AD39" s="38" t="s">
        <v>490</v>
      </c>
      <c r="AE39" s="38" t="s">
        <v>491</v>
      </c>
      <c r="AF39" s="38" t="s">
        <v>444</v>
      </c>
      <c r="AG39" s="1249" t="s">
        <v>445</v>
      </c>
      <c r="AH39" s="1263"/>
      <c r="AI39" s="1302"/>
      <c r="AJ39" s="1305"/>
      <c r="AK39" s="1146"/>
      <c r="AQ39" s="10">
        <v>34</v>
      </c>
    </row>
    <row r="40" spans="1:43" s="200" customFormat="1" ht="0" hidden="1" customHeight="1">
      <c r="A40" s="79"/>
      <c r="B40" s="79"/>
      <c r="C40" s="79"/>
      <c r="D40" s="79"/>
      <c r="E40" s="79"/>
      <c r="F40" s="79"/>
      <c r="G40" s="79"/>
      <c r="H40" s="79"/>
      <c r="I40" s="79"/>
      <c r="J40" s="79"/>
      <c r="K40" s="79"/>
      <c r="L40" s="767"/>
      <c r="M40" s="503"/>
      <c r="N40" s="503"/>
      <c r="O40" s="503"/>
      <c r="P40" s="719"/>
      <c r="Q40" s="720"/>
      <c r="R40" s="722">
        <v>1</v>
      </c>
      <c r="S40" s="738" t="s">
        <v>107</v>
      </c>
      <c r="T40" s="723" t="s">
        <v>108</v>
      </c>
      <c r="U40" s="718" t="str">
        <f ca="1">OFFSET(U40,0,-1)</f>
        <v>2</v>
      </c>
      <c r="V40" s="724">
        <f ca="1">OFFSET(V40,0,-1)+1</f>
        <v>3</v>
      </c>
      <c r="W40" s="724">
        <f ca="1">OFFSET(W40,0,-1)+1</f>
        <v>4</v>
      </c>
      <c r="X40" s="724">
        <f ca="1">OFFSET(X40,0,-1)+1</f>
        <v>5</v>
      </c>
      <c r="Y40" s="724">
        <f ca="1">OFFSET(Y40,0,-1)+1</f>
        <v>6</v>
      </c>
      <c r="Z40" s="1294">
        <f ca="1">OFFSET(Z40,0,-1)+1</f>
        <v>7</v>
      </c>
      <c r="AA40" s="1294"/>
      <c r="AB40" s="724">
        <f ca="1">OFFSET(AB40,0,-2)+1</f>
        <v>8</v>
      </c>
      <c r="AC40" s="724">
        <f ca="1">OFFSET(AC40,0,-1)+1</f>
        <v>9</v>
      </c>
      <c r="AD40" s="724">
        <f ca="1">OFFSET(AD40,0,-1)+1</f>
        <v>10</v>
      </c>
      <c r="AE40" s="724">
        <f ca="1">OFFSET(AE40,0,-1)+1</f>
        <v>11</v>
      </c>
      <c r="AF40" s="724">
        <f ca="1">OFFSET(AF40,0,-1)+1</f>
        <v>12</v>
      </c>
      <c r="AG40" s="1294">
        <f ca="1">OFFSET(AG40,0,-1)+1</f>
        <v>13</v>
      </c>
      <c r="AH40" s="1294"/>
      <c r="AI40" s="724">
        <f ca="1">OFFSET(AI40,0,-2)+1</f>
        <v>14</v>
      </c>
      <c r="AJ40" s="718">
        <f ca="1">OFFSET(AJ40,0,-1)</f>
        <v>14</v>
      </c>
      <c r="AK40" s="724">
        <f ca="1">OFFSET(AK40,0,-1)+1</f>
        <v>15</v>
      </c>
      <c r="AL40" s="65"/>
      <c r="AM40" s="65"/>
      <c r="AN40" s="65"/>
      <c r="AO40" s="65"/>
      <c r="AP40" s="65"/>
      <c r="AQ40" s="200">
        <v>0</v>
      </c>
    </row>
    <row r="41" spans="1:43" ht="24" customHeight="1">
      <c r="A41" s="766" t="s">
        <v>241</v>
      </c>
      <c r="B41" s="766"/>
      <c r="C41" s="766"/>
      <c r="D41" s="766"/>
      <c r="E41" s="1283">
        <v>1</v>
      </c>
      <c r="F41" s="766"/>
      <c r="G41" s="766"/>
      <c r="H41" s="766"/>
      <c r="I41" s="766"/>
      <c r="J41" s="766"/>
      <c r="K41" s="766"/>
      <c r="L41" s="767"/>
      <c r="M41" s="423"/>
      <c r="N41" s="423"/>
      <c r="O41" s="423"/>
      <c r="Q41" s="33"/>
      <c r="R41" s="204"/>
      <c r="S41" s="706">
        <f>INDEX(PT_DIFFERENTIATION_NUM_NTAR,MATCH(A41,PT_DIFFERENTIATION_NTAR_ID,0))</f>
        <v>0</v>
      </c>
      <c r="T41" s="64" t="s">
        <v>121</v>
      </c>
      <c r="U41" s="168"/>
      <c r="V41" s="1277"/>
      <c r="W41" s="1278"/>
      <c r="X41" s="1278"/>
      <c r="Y41" s="1278"/>
      <c r="Z41" s="1278"/>
      <c r="AA41" s="1278"/>
      <c r="AB41" s="1279"/>
      <c r="AC41" s="1277" t="str">
        <f>INDEX(PT_DIFFERENTIATION_NTAR,MATCH(A41,PT_DIFFERENTIATION_NTAR_ID,0))</f>
        <v/>
      </c>
      <c r="AD41" s="1278"/>
      <c r="AE41" s="1278"/>
      <c r="AF41" s="1278"/>
      <c r="AG41" s="1278"/>
      <c r="AH41" s="1278"/>
      <c r="AI41" s="1278"/>
      <c r="AJ41" s="1279"/>
      <c r="AK41"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66" t="s">
        <v>241</v>
      </c>
      <c r="B42" s="766" t="s">
        <v>242</v>
      </c>
      <c r="C42" s="766"/>
      <c r="D42" s="766"/>
      <c r="E42" s="1284"/>
      <c r="F42" s="1283">
        <v>1</v>
      </c>
      <c r="G42" s="766"/>
      <c r="H42" s="766"/>
      <c r="I42" s="766"/>
      <c r="J42" s="766"/>
      <c r="K42" s="766"/>
      <c r="L42" s="767"/>
      <c r="M42" s="423"/>
      <c r="N42" s="423"/>
      <c r="O42" s="423"/>
      <c r="P42" s="56"/>
      <c r="Q42" s="201"/>
      <c r="R42" s="202"/>
      <c r="S42" s="706" t="str">
        <f>INDEX(PT_DIFFERENTIATION_NUM_TER,MATCH(B42,PT_DIFFERENTIATION_TER_ID,0))</f>
        <v>.</v>
      </c>
      <c r="T42" s="174" t="s">
        <v>397</v>
      </c>
      <c r="U42" s="168"/>
      <c r="V42" s="1277"/>
      <c r="W42" s="1278"/>
      <c r="X42" s="1278"/>
      <c r="Y42" s="1278"/>
      <c r="Z42" s="1278"/>
      <c r="AA42" s="1278"/>
      <c r="AB42" s="1279"/>
      <c r="AC42" s="1277" t="str">
        <f>INDEX(PT_DIFFERENTIATION_TER,MATCH(B42,PT_DIFFERENTIATION_TER_ID,0))</f>
        <v/>
      </c>
      <c r="AD42" s="1278"/>
      <c r="AE42" s="1278"/>
      <c r="AF42" s="1278"/>
      <c r="AG42" s="1278"/>
      <c r="AH42" s="1278"/>
      <c r="AI42" s="1278"/>
      <c r="AJ42" s="1279"/>
      <c r="AK42" s="726" t="s">
        <v>398</v>
      </c>
      <c r="AM42" s="66"/>
      <c r="AN42" s="66" t="str">
        <f t="shared" si="1"/>
        <v>Территория действия тарифа</v>
      </c>
      <c r="AO42" s="66"/>
      <c r="AP42" s="66"/>
      <c r="AQ42" s="10">
        <v>23</v>
      </c>
    </row>
    <row r="43" spans="1:43" ht="24" customHeight="1">
      <c r="A43" s="766" t="s">
        <v>241</v>
      </c>
      <c r="B43" s="766" t="s">
        <v>242</v>
      </c>
      <c r="C43" s="766" t="s">
        <v>243</v>
      </c>
      <c r="D43" s="766"/>
      <c r="E43" s="1284"/>
      <c r="F43" s="1284"/>
      <c r="G43" s="1283">
        <v>1</v>
      </c>
      <c r="H43" s="766"/>
      <c r="I43" s="766"/>
      <c r="J43" s="766"/>
      <c r="K43" s="766"/>
      <c r="L43" s="767"/>
      <c r="M43" s="423"/>
      <c r="N43" s="423"/>
      <c r="O43" s="423"/>
      <c r="P43" s="203"/>
      <c r="Q43" s="201"/>
      <c r="R43" s="202"/>
      <c r="S43" s="706" t="str">
        <f>INDEX(PT_DIFFERENTIATION_NUM_CS,MATCH(C43,PT_DIFFERENTIATION_CS_ID,0))</f>
        <v>..</v>
      </c>
      <c r="T43" s="175" t="s">
        <v>478</v>
      </c>
      <c r="U43" s="168"/>
      <c r="V43" s="1277"/>
      <c r="W43" s="1278"/>
      <c r="X43" s="1278"/>
      <c r="Y43" s="1278"/>
      <c r="Z43" s="1278"/>
      <c r="AA43" s="1278"/>
      <c r="AB43" s="1279"/>
      <c r="AC43" s="1277" t="str">
        <f>INDEX(PT_DIFFERENTIATION_CS,MATCH(C43,PT_DIFFERENTIATION_CS_ID,0))</f>
        <v/>
      </c>
      <c r="AD43" s="1278"/>
      <c r="AE43" s="1278"/>
      <c r="AF43" s="1278"/>
      <c r="AG43" s="1278"/>
      <c r="AH43" s="1278"/>
      <c r="AI43" s="1278"/>
      <c r="AJ43" s="1279"/>
      <c r="AK43" s="726" t="s">
        <v>479</v>
      </c>
      <c r="AM43" s="66"/>
      <c r="AN43" s="66" t="str">
        <f t="shared" si="1"/>
        <v>Наименование централизованной системы холодного водоснабжения</v>
      </c>
      <c r="AO43" s="66"/>
      <c r="AP43" s="66"/>
      <c r="AQ43" s="10">
        <v>23</v>
      </c>
    </row>
    <row r="44" spans="1:43" ht="24" customHeight="1">
      <c r="A44" s="766" t="s">
        <v>241</v>
      </c>
      <c r="B44" s="766" t="s">
        <v>242</v>
      </c>
      <c r="C44" s="766" t="s">
        <v>243</v>
      </c>
      <c r="D44" s="766" t="s">
        <v>497</v>
      </c>
      <c r="E44" s="1284"/>
      <c r="F44" s="1284"/>
      <c r="G44" s="1284"/>
      <c r="H44" s="1284"/>
      <c r="I44" s="1285" t="str">
        <f>S43&amp;".1"</f>
        <v>...1</v>
      </c>
      <c r="J44" s="766"/>
      <c r="K44" s="766"/>
      <c r="L44" s="767"/>
      <c r="P44" s="1287">
        <v>1</v>
      </c>
      <c r="Q44" s="119"/>
      <c r="R44" s="205"/>
      <c r="S44" s="706" t="str">
        <f>$I44</f>
        <v>...1</v>
      </c>
      <c r="T44" s="161" t="s">
        <v>480</v>
      </c>
      <c r="U44" s="168"/>
      <c r="V44" s="1351"/>
      <c r="W44" s="1352"/>
      <c r="X44" s="1352"/>
      <c r="Y44" s="1352"/>
      <c r="Z44" s="1352"/>
      <c r="AA44" s="1352"/>
      <c r="AB44" s="1353"/>
      <c r="AC44" s="1354"/>
      <c r="AD44" s="1355"/>
      <c r="AE44" s="1355"/>
      <c r="AF44" s="1355"/>
      <c r="AG44" s="1355"/>
      <c r="AH44" s="1355"/>
      <c r="AI44" s="1355"/>
      <c r="AJ44" s="1356"/>
      <c r="AK44" s="726" t="s">
        <v>481</v>
      </c>
      <c r="AM44" s="66"/>
      <c r="AN44" s="66" t="str">
        <f t="shared" si="1"/>
        <v>Наименование признака дифференциации</v>
      </c>
      <c r="AO44" s="66"/>
      <c r="AP44" s="66"/>
      <c r="AQ44" s="10">
        <v>23</v>
      </c>
    </row>
    <row r="45" spans="1:43" ht="24" customHeight="1">
      <c r="A45" s="766" t="s">
        <v>241</v>
      </c>
      <c r="B45" s="766" t="s">
        <v>242</v>
      </c>
      <c r="C45" s="766" t="s">
        <v>243</v>
      </c>
      <c r="D45" s="766" t="s">
        <v>497</v>
      </c>
      <c r="E45" s="1284"/>
      <c r="F45" s="1284"/>
      <c r="G45" s="1284"/>
      <c r="H45" s="1284"/>
      <c r="I45" s="1286"/>
      <c r="J45" s="1285" t="str">
        <f>I44&amp;".1"</f>
        <v>...1.1</v>
      </c>
      <c r="K45" s="766"/>
      <c r="L45" s="767" t="s">
        <v>406</v>
      </c>
      <c r="P45" s="1287"/>
      <c r="Q45" s="1287">
        <v>1</v>
      </c>
      <c r="R45" s="206"/>
      <c r="S45" s="706" t="str">
        <f>$J45</f>
        <v>...1.1</v>
      </c>
      <c r="T45" s="162" t="s">
        <v>407</v>
      </c>
      <c r="U45" s="168"/>
      <c r="V45" s="1271"/>
      <c r="W45" s="1272"/>
      <c r="X45" s="1272"/>
      <c r="Y45" s="1272"/>
      <c r="Z45" s="1272"/>
      <c r="AA45" s="1272"/>
      <c r="AB45" s="1273"/>
      <c r="AC45" s="1271"/>
      <c r="AD45" s="1272"/>
      <c r="AE45" s="1272"/>
      <c r="AF45" s="1272"/>
      <c r="AG45" s="1272"/>
      <c r="AH45" s="1272"/>
      <c r="AI45" s="1272"/>
      <c r="AJ45" s="1273"/>
      <c r="AK45" s="750" t="s">
        <v>482</v>
      </c>
      <c r="AM45" s="66"/>
      <c r="AN45" s="66" t="str">
        <f t="shared" si="1"/>
        <v>Группа потребителей</v>
      </c>
      <c r="AO45" s="66"/>
      <c r="AP45" s="66"/>
      <c r="AQ45" s="10">
        <v>23</v>
      </c>
    </row>
    <row r="46" spans="1:43" ht="24" customHeight="1">
      <c r="A46" s="766" t="s">
        <v>241</v>
      </c>
      <c r="B46" s="766" t="s">
        <v>242</v>
      </c>
      <c r="C46" s="766" t="s">
        <v>243</v>
      </c>
      <c r="D46" s="766" t="s">
        <v>497</v>
      </c>
      <c r="E46" s="1284"/>
      <c r="F46" s="1284"/>
      <c r="G46" s="1284"/>
      <c r="H46" s="1284"/>
      <c r="I46" s="1286"/>
      <c r="J46" s="1286"/>
      <c r="K46" s="1285" t="str">
        <f>J45&amp;".1"</f>
        <v>...1.1.1</v>
      </c>
      <c r="L46" s="767"/>
      <c r="P46" s="1287"/>
      <c r="Q46" s="1287"/>
      <c r="R46" s="206">
        <v>1</v>
      </c>
      <c r="S46" s="706" t="str">
        <f>$K46</f>
        <v>...1.1.1</v>
      </c>
      <c r="T46" s="810"/>
      <c r="U46" s="168"/>
      <c r="V46" s="303"/>
      <c r="W46" s="303"/>
      <c r="X46" s="725"/>
      <c r="Y46" s="1288"/>
      <c r="Z46" s="1156" t="s">
        <v>64</v>
      </c>
      <c r="AA46" s="1288"/>
      <c r="AB46" s="1156" t="s">
        <v>64</v>
      </c>
      <c r="AC46" s="303"/>
      <c r="AD46" s="303"/>
      <c r="AE46" s="725"/>
      <c r="AF46" s="1288"/>
      <c r="AG46" s="1156" t="s">
        <v>64</v>
      </c>
      <c r="AH46" s="1290"/>
      <c r="AI46" s="1156" t="s">
        <v>64</v>
      </c>
      <c r="AJ46" s="811"/>
      <c r="AK46"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66" t="s">
        <v>241</v>
      </c>
      <c r="B47" s="766" t="s">
        <v>242</v>
      </c>
      <c r="C47" s="766" t="s">
        <v>243</v>
      </c>
      <c r="D47" s="766" t="s">
        <v>497</v>
      </c>
      <c r="E47" s="1284"/>
      <c r="F47" s="1284"/>
      <c r="G47" s="1284"/>
      <c r="H47" s="1284"/>
      <c r="I47" s="1286"/>
      <c r="J47" s="1286"/>
      <c r="K47" s="1285"/>
      <c r="L47" s="767"/>
      <c r="P47" s="1287"/>
      <c r="Q47" s="1287"/>
      <c r="R47" s="206"/>
      <c r="S47" s="62"/>
      <c r="T47" s="168"/>
      <c r="U47" s="168"/>
      <c r="V47" s="188"/>
      <c r="W47" s="188"/>
      <c r="X47" s="189" t="str">
        <f>Y46&amp;"-"&amp;AA46</f>
        <v>-</v>
      </c>
      <c r="Y47" s="1289"/>
      <c r="Z47" s="1156"/>
      <c r="AA47" s="1289"/>
      <c r="AB47" s="1156"/>
      <c r="AC47" s="188"/>
      <c r="AD47" s="188"/>
      <c r="AE47" s="189" t="str">
        <f>AF46&amp;"-"&amp;AH46</f>
        <v>-</v>
      </c>
      <c r="AF47" s="1289"/>
      <c r="AG47" s="1156"/>
      <c r="AH47" s="1291"/>
      <c r="AI47" s="1156"/>
      <c r="AJ47" s="385"/>
      <c r="AK47" s="1357"/>
      <c r="AM47" s="66"/>
      <c r="AN47" s="66" t="str">
        <f t="shared" si="1"/>
        <v/>
      </c>
      <c r="AO47" s="66"/>
      <c r="AP47" s="66"/>
      <c r="AQ47" s="10">
        <v>0</v>
      </c>
    </row>
    <row r="48" spans="1:43" ht="21" customHeight="1">
      <c r="A48" s="766" t="s">
        <v>241</v>
      </c>
      <c r="B48" s="766" t="s">
        <v>242</v>
      </c>
      <c r="C48" s="766" t="s">
        <v>243</v>
      </c>
      <c r="D48" s="766" t="s">
        <v>497</v>
      </c>
      <c r="E48" s="1284"/>
      <c r="F48" s="1284"/>
      <c r="G48" s="1284"/>
      <c r="H48" s="1284"/>
      <c r="I48" s="1286"/>
      <c r="J48" s="1285"/>
      <c r="K48" s="766"/>
      <c r="L48" s="767"/>
      <c r="P48" s="1287"/>
      <c r="Q48" s="1287"/>
      <c r="R48" s="205"/>
      <c r="S48" s="739"/>
      <c r="T48" s="163" t="s">
        <v>483</v>
      </c>
      <c r="U48" s="210"/>
      <c r="V48" s="210"/>
      <c r="W48" s="210"/>
      <c r="X48" s="210"/>
      <c r="Y48" s="210"/>
      <c r="Z48" s="210"/>
      <c r="AA48" s="210"/>
      <c r="AB48" s="210"/>
      <c r="AC48" s="210"/>
      <c r="AD48" s="210"/>
      <c r="AE48" s="210"/>
      <c r="AF48" s="210"/>
      <c r="AG48" s="210"/>
      <c r="AH48" s="210"/>
      <c r="AI48" s="210"/>
      <c r="AJ48" s="210"/>
      <c r="AK48" s="726" t="s">
        <v>484</v>
      </c>
      <c r="AM48" s="66"/>
      <c r="AN48" s="66" t="str">
        <f t="shared" si="1"/>
        <v>Добавить значение признака дифференциации</v>
      </c>
      <c r="AO48" s="66"/>
      <c r="AP48" s="66"/>
      <c r="AQ48" s="10">
        <v>20</v>
      </c>
    </row>
    <row r="49" spans="1:43" ht="21.95" customHeight="1">
      <c r="A49" s="766" t="s">
        <v>241</v>
      </c>
      <c r="B49" s="766" t="s">
        <v>242</v>
      </c>
      <c r="C49" s="766" t="s">
        <v>243</v>
      </c>
      <c r="D49" s="766" t="s">
        <v>497</v>
      </c>
      <c r="E49" s="1284"/>
      <c r="F49" s="1284"/>
      <c r="G49" s="1284"/>
      <c r="H49" s="1284"/>
      <c r="I49" s="1285"/>
      <c r="J49" s="766"/>
      <c r="K49" s="766"/>
      <c r="L49" s="767"/>
      <c r="P49" s="1287"/>
      <c r="Q49" s="119"/>
      <c r="R49" s="205"/>
      <c r="S49" s="739"/>
      <c r="T49" s="208" t="s">
        <v>412</v>
      </c>
      <c r="U49" s="210"/>
      <c r="V49" s="210"/>
      <c r="W49" s="210"/>
      <c r="X49" s="210"/>
      <c r="Y49" s="210"/>
      <c r="Z49" s="210"/>
      <c r="AA49" s="210"/>
      <c r="AB49" s="209"/>
      <c r="AC49" s="210"/>
      <c r="AD49" s="210"/>
      <c r="AE49" s="210"/>
      <c r="AF49" s="210"/>
      <c r="AG49" s="210"/>
      <c r="AH49" s="210"/>
      <c r="AI49" s="209"/>
      <c r="AJ49" s="210"/>
      <c r="AK49" s="812"/>
      <c r="AM49" s="66"/>
      <c r="AN49" s="66" t="str">
        <f t="shared" si="1"/>
        <v>Добавить группу потребителей</v>
      </c>
      <c r="AO49" s="66"/>
      <c r="AP49" s="66"/>
      <c r="AQ49" s="10">
        <v>21</v>
      </c>
    </row>
    <row r="50" spans="1:43" ht="21.95" customHeight="1">
      <c r="A50" s="766" t="s">
        <v>241</v>
      </c>
      <c r="B50" s="766" t="s">
        <v>242</v>
      </c>
      <c r="C50" s="766" t="s">
        <v>243</v>
      </c>
      <c r="D50" s="766" t="s">
        <v>497</v>
      </c>
      <c r="E50" s="1284"/>
      <c r="F50" s="1284"/>
      <c r="G50" s="1284"/>
      <c r="H50" s="1283"/>
      <c r="I50" s="766"/>
      <c r="J50" s="766"/>
      <c r="K50" s="766"/>
      <c r="L50" s="767"/>
      <c r="M50" s="423"/>
      <c r="N50" s="423"/>
      <c r="O50" s="60"/>
      <c r="P50" s="33"/>
      <c r="Q50" s="213"/>
      <c r="R50" s="204"/>
      <c r="S50" s="739"/>
      <c r="T50" s="104" t="s">
        <v>485</v>
      </c>
      <c r="U50" s="210"/>
      <c r="V50" s="210"/>
      <c r="W50" s="210"/>
      <c r="X50" s="210"/>
      <c r="Y50" s="210"/>
      <c r="Z50" s="210"/>
      <c r="AA50" s="210"/>
      <c r="AB50" s="209"/>
      <c r="AC50" s="210"/>
      <c r="AD50" s="210"/>
      <c r="AE50" s="210"/>
      <c r="AF50" s="210"/>
      <c r="AG50" s="210"/>
      <c r="AH50" s="210"/>
      <c r="AI50" s="209"/>
      <c r="AJ50" s="210"/>
      <c r="AK50" s="171"/>
      <c r="AM50" s="66"/>
      <c r="AN50" s="66" t="str">
        <f t="shared" si="1"/>
        <v>Добавить наименование признака дифференциации</v>
      </c>
      <c r="AO50" s="66"/>
      <c r="AP50" s="66"/>
      <c r="AQ50" s="10">
        <v>21</v>
      </c>
    </row>
    <row r="51" spans="1:43" s="65" customFormat="1" ht="0" hidden="1" customHeight="1">
      <c r="A51" s="142" t="s">
        <v>241</v>
      </c>
      <c r="B51" s="142" t="s">
        <v>242</v>
      </c>
      <c r="C51" s="142"/>
      <c r="D51" s="142"/>
      <c r="E51" s="1284"/>
      <c r="F51" s="1283"/>
      <c r="G51" s="142"/>
      <c r="H51" s="142"/>
      <c r="I51" s="142"/>
      <c r="J51" s="142"/>
      <c r="K51" s="142"/>
      <c r="L51" s="343"/>
      <c r="M51" s="756"/>
      <c r="N51" s="756"/>
      <c r="P51" s="101"/>
      <c r="Q51" s="752"/>
      <c r="R51" s="101"/>
      <c r="S51" s="757"/>
      <c r="T51" s="759" t="s">
        <v>231</v>
      </c>
      <c r="U51" s="310"/>
      <c r="V51" s="310"/>
      <c r="W51" s="310"/>
      <c r="X51" s="310"/>
      <c r="Y51" s="310"/>
      <c r="Z51" s="310"/>
      <c r="AA51" s="310"/>
      <c r="AB51" s="310"/>
      <c r="AC51" s="310"/>
      <c r="AD51" s="310"/>
      <c r="AE51" s="310"/>
      <c r="AF51" s="310"/>
      <c r="AG51" s="310"/>
      <c r="AH51" s="310"/>
      <c r="AI51" s="310"/>
      <c r="AJ51" s="310"/>
      <c r="AK51" s="310"/>
      <c r="AM51" s="66"/>
      <c r="AN51" s="66" t="str">
        <f t="shared" si="1"/>
        <v>Добавить централизованную систему для дифференциации</v>
      </c>
      <c r="AO51" s="66"/>
      <c r="AP51" s="66"/>
      <c r="AQ51" s="65">
        <v>0</v>
      </c>
    </row>
    <row r="52" spans="1:43" s="65" customFormat="1" ht="0" hidden="1" customHeight="1">
      <c r="A52" s="142" t="s">
        <v>241</v>
      </c>
      <c r="B52" s="142"/>
      <c r="C52" s="142"/>
      <c r="D52" s="142"/>
      <c r="E52" s="1283"/>
      <c r="F52" s="142"/>
      <c r="G52" s="142"/>
      <c r="H52" s="142"/>
      <c r="I52" s="142"/>
      <c r="J52" s="142"/>
      <c r="K52" s="142"/>
      <c r="L52" s="343"/>
      <c r="M52" s="756"/>
      <c r="N52" s="756"/>
      <c r="P52" s="101"/>
      <c r="Q52" s="752"/>
      <c r="R52" s="101"/>
      <c r="S52" s="757"/>
      <c r="T52" s="759" t="s">
        <v>232</v>
      </c>
      <c r="U52" s="310"/>
      <c r="V52" s="310"/>
      <c r="W52" s="310"/>
      <c r="X52" s="310"/>
      <c r="Y52" s="310"/>
      <c r="Z52" s="310"/>
      <c r="AA52" s="310"/>
      <c r="AB52" s="310"/>
      <c r="AC52" s="310"/>
      <c r="AD52" s="310"/>
      <c r="AE52" s="310"/>
      <c r="AF52" s="310"/>
      <c r="AG52" s="310"/>
      <c r="AH52" s="310"/>
      <c r="AI52" s="310"/>
      <c r="AJ52" s="310"/>
      <c r="AK52" s="310"/>
      <c r="AM52" s="66"/>
      <c r="AN52" s="66" t="str">
        <f t="shared" si="1"/>
        <v>Добавить территорию для дифференциации</v>
      </c>
      <c r="AO52" s="66"/>
      <c r="AP52" s="66"/>
      <c r="AQ52" s="65">
        <v>0</v>
      </c>
    </row>
    <row r="53" spans="1:43" s="65" customFormat="1" ht="0" hidden="1" customHeight="1">
      <c r="A53" s="142"/>
      <c r="B53" s="142"/>
      <c r="C53" s="142"/>
      <c r="D53" s="142"/>
      <c r="E53" s="142"/>
      <c r="F53" s="142"/>
      <c r="G53" s="142"/>
      <c r="H53" s="142"/>
      <c r="I53" s="142"/>
      <c r="J53" s="142"/>
      <c r="K53" s="142"/>
      <c r="L53" s="343"/>
      <c r="M53" s="756"/>
      <c r="N53" s="756"/>
      <c r="P53" s="101"/>
      <c r="Q53" s="752"/>
      <c r="R53" s="101"/>
      <c r="S53" s="757"/>
      <c r="T53" s="759" t="s">
        <v>233</v>
      </c>
      <c r="U53" s="310"/>
      <c r="V53" s="310"/>
      <c r="W53" s="310"/>
      <c r="X53" s="310"/>
      <c r="Y53" s="310"/>
      <c r="Z53" s="310"/>
      <c r="AA53" s="310"/>
      <c r="AB53" s="310"/>
      <c r="AC53" s="310"/>
      <c r="AD53" s="310"/>
      <c r="AE53" s="310"/>
      <c r="AF53" s="310"/>
      <c r="AG53" s="310"/>
      <c r="AH53" s="310"/>
      <c r="AI53" s="310"/>
      <c r="AJ53" s="310"/>
      <c r="AK53" s="310"/>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5"/>
      <c r="T55" s="1282"/>
      <c r="U55" s="1282"/>
      <c r="V55" s="1282"/>
      <c r="W55" s="1282"/>
      <c r="X55" s="1282"/>
      <c r="Y55" s="1282"/>
      <c r="Z55" s="1282"/>
      <c r="AA55" s="1282"/>
      <c r="AB55" s="1282"/>
      <c r="AC55" s="1282"/>
      <c r="AD55" s="1282"/>
      <c r="AE55" s="1282"/>
      <c r="AF55" s="1282"/>
      <c r="AG55" s="1282"/>
      <c r="AH55" s="1282"/>
      <c r="AI55" s="1282"/>
      <c r="AJ55" s="1282"/>
      <c r="AK55" s="1282"/>
      <c r="AQ55" s="10">
        <v>14</v>
      </c>
    </row>
    <row r="56" spans="1:43" ht="14.65" customHeight="1">
      <c r="O56" s="60"/>
      <c r="AQ56" s="10">
        <v>14</v>
      </c>
    </row>
    <row r="57" spans="1:43" ht="14.65" customHeight="1">
      <c r="O57" s="60"/>
      <c r="S57" s="195"/>
      <c r="T57" s="1282"/>
      <c r="U57" s="1282"/>
      <c r="V57" s="1282"/>
      <c r="W57" s="1282"/>
      <c r="X57" s="1282"/>
      <c r="Y57" s="1282"/>
      <c r="Z57" s="1282"/>
      <c r="AA57" s="1282"/>
      <c r="AB57" s="1282"/>
      <c r="AC57" s="1282"/>
      <c r="AD57" s="1282"/>
      <c r="AE57" s="1282"/>
      <c r="AF57" s="1282"/>
      <c r="AG57" s="1282"/>
      <c r="AH57" s="1282"/>
      <c r="AI57" s="1282"/>
      <c r="AJ57" s="1282"/>
      <c r="AK57" s="1282"/>
      <c r="AQ57" s="10">
        <v>14</v>
      </c>
    </row>
    <row r="58" spans="1:43" ht="22.5" hidden="1" customHeight="1">
      <c r="A58" s="60" t="s">
        <v>80</v>
      </c>
      <c r="B58" s="60">
        <v>0</v>
      </c>
      <c r="C58" s="60">
        <v>0</v>
      </c>
      <c r="D58" s="60">
        <v>0</v>
      </c>
      <c r="E58" s="60">
        <v>0</v>
      </c>
      <c r="F58" s="60">
        <v>0</v>
      </c>
      <c r="G58" s="60">
        <v>0</v>
      </c>
      <c r="H58" s="60">
        <v>0</v>
      </c>
      <c r="I58" s="60">
        <v>0</v>
      </c>
      <c r="J58" s="60">
        <v>0</v>
      </c>
      <c r="K58" s="60">
        <v>0</v>
      </c>
      <c r="L58" s="298">
        <v>0</v>
      </c>
      <c r="M58" s="503">
        <v>0</v>
      </c>
      <c r="N58" s="503">
        <v>0</v>
      </c>
      <c r="O58" s="503">
        <v>0</v>
      </c>
      <c r="P58" s="32">
        <v>3</v>
      </c>
      <c r="Q58" s="28">
        <v>3</v>
      </c>
      <c r="R58" s="28">
        <v>3</v>
      </c>
      <c r="S58" s="339">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0" hidden="1" customWidth="1"/>
    <col min="4" max="4" width="11.85546875" style="10" hidden="1" customWidth="1"/>
    <col min="5" max="11" width="10.140625" style="10" hidden="1" customWidth="1"/>
    <col min="12" max="12" width="10.140625" style="56" hidden="1" customWidth="1"/>
    <col min="13" max="15" width="10.140625" style="32" hidden="1" customWidth="1"/>
    <col min="16" max="16" width="3" style="503" customWidth="1"/>
    <col min="17" max="17" width="3" style="769" customWidth="1"/>
    <col min="18" max="18" width="3" style="28" customWidth="1"/>
    <col min="19" max="19" width="12" style="339"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27" style="10" customWidth="1"/>
    <col min="29" max="29" width="24.5703125" style="10" customWidth="1"/>
    <col min="30" max="31" width="21"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0.75" hidden="1" customHeight="1">
      <c r="AQ1" s="10" t="s">
        <v>14</v>
      </c>
    </row>
    <row r="2" spans="1:43" ht="21" hidden="1" customHeight="1">
      <c r="A2" s="728"/>
      <c r="B2" s="728"/>
      <c r="C2" s="728"/>
      <c r="D2" s="728"/>
      <c r="E2" s="1309">
        <v>1</v>
      </c>
      <c r="F2" s="728"/>
      <c r="G2" s="728"/>
      <c r="H2" s="728"/>
      <c r="I2" s="728"/>
      <c r="J2" s="728"/>
      <c r="K2" s="728"/>
      <c r="L2" s="751"/>
      <c r="M2" s="339"/>
      <c r="N2" s="339"/>
      <c r="O2" s="339"/>
      <c r="Q2" s="59"/>
      <c r="R2" s="204"/>
      <c r="S2" s="706" t="e">
        <f>INDEX(PT_DIFFERENTIATION_NUM_NTAR,MATCH(A2,PT_DIFFERENTIATION_NTAR_ID,0))</f>
        <v>#N/A</v>
      </c>
      <c r="T2" s="64" t="s">
        <v>121</v>
      </c>
      <c r="U2" s="168"/>
      <c r="V2" s="1278"/>
      <c r="W2" s="1278"/>
      <c r="X2" s="1278"/>
      <c r="Y2" s="1278"/>
      <c r="Z2" s="1278"/>
      <c r="AA2" s="1279"/>
      <c r="AB2" s="1040"/>
      <c r="AC2" s="1278" t="e">
        <f>INDEX(PT_DIFFERENTIATION_NTAR,MATCH(A2,PT_DIFFERENTIATION_NTAR_ID,0))</f>
        <v>#N/A</v>
      </c>
      <c r="AD2" s="1278"/>
      <c r="AE2" s="1278"/>
      <c r="AF2" s="1278"/>
      <c r="AG2" s="1278"/>
      <c r="AH2" s="1278"/>
      <c r="AI2" s="1278"/>
      <c r="AJ2" s="1279"/>
      <c r="AK2" s="726" t="s">
        <v>396</v>
      </c>
      <c r="AM2" s="66"/>
      <c r="AN2" s="66" t="str">
        <f t="shared" ref="AN2:AN14" si="0">IF(T2="","",T2)</f>
        <v>Наименование тарифа</v>
      </c>
      <c r="AO2" s="66"/>
      <c r="AP2" s="66"/>
      <c r="AQ2" s="10">
        <v>0</v>
      </c>
    </row>
    <row r="3" spans="1:43" ht="21" hidden="1" customHeight="1">
      <c r="A3" s="728"/>
      <c r="B3" s="728"/>
      <c r="C3" s="728"/>
      <c r="D3" s="728"/>
      <c r="E3" s="1310"/>
      <c r="F3" s="1309">
        <v>1</v>
      </c>
      <c r="G3" s="728"/>
      <c r="H3" s="728"/>
      <c r="I3" s="728"/>
      <c r="J3" s="728"/>
      <c r="K3" s="728"/>
      <c r="L3" s="751"/>
      <c r="M3" s="339"/>
      <c r="N3" s="339"/>
      <c r="O3" s="339"/>
      <c r="P3" s="298"/>
      <c r="Q3" s="799"/>
      <c r="R3" s="202"/>
      <c r="S3" s="706" t="e">
        <f>INDEX(PT_DIFFERENTIATION_NUM_TER,MATCH(B3,PT_DIFFERENTIATION_TER_ID,0))</f>
        <v>#N/A</v>
      </c>
      <c r="T3" s="174" t="s">
        <v>397</v>
      </c>
      <c r="U3" s="168"/>
      <c r="V3" s="1278"/>
      <c r="W3" s="1278"/>
      <c r="X3" s="1278"/>
      <c r="Y3" s="1278"/>
      <c r="Z3" s="1278"/>
      <c r="AA3" s="1279"/>
      <c r="AB3" s="1040"/>
      <c r="AC3" s="1278" t="e">
        <f>INDEX(PT_DIFFERENTIATION_TER,MATCH(B3,PT_DIFFERENTIATION_TER_ID,0))</f>
        <v>#N/A</v>
      </c>
      <c r="AD3" s="1278"/>
      <c r="AE3" s="1278"/>
      <c r="AF3" s="1278"/>
      <c r="AG3" s="1278"/>
      <c r="AH3" s="1278"/>
      <c r="AI3" s="1278"/>
      <c r="AJ3" s="1279"/>
      <c r="AK3" s="726" t="s">
        <v>398</v>
      </c>
      <c r="AM3" s="66"/>
      <c r="AN3" s="66" t="str">
        <f t="shared" si="0"/>
        <v>Территория действия тарифа</v>
      </c>
      <c r="AO3" s="66"/>
      <c r="AP3" s="66"/>
      <c r="AQ3" s="10">
        <v>0</v>
      </c>
    </row>
    <row r="4" spans="1:43" ht="22.5" hidden="1" customHeight="1">
      <c r="A4" s="728"/>
      <c r="B4" s="728"/>
      <c r="C4" s="728"/>
      <c r="D4" s="728"/>
      <c r="E4" s="1310"/>
      <c r="F4" s="1310"/>
      <c r="G4" s="1309">
        <v>1</v>
      </c>
      <c r="H4" s="728"/>
      <c r="I4" s="728"/>
      <c r="J4" s="728"/>
      <c r="K4" s="728"/>
      <c r="L4" s="751"/>
      <c r="M4" s="339"/>
      <c r="N4" s="339"/>
      <c r="O4" s="339"/>
      <c r="P4" s="128"/>
      <c r="Q4" s="799"/>
      <c r="R4" s="202"/>
      <c r="S4" s="706" t="e">
        <f>INDEX(PT_DIFFERENTIATION_NUM_CS,MATCH(C4,PT_DIFFERENTIATION_CS_ID,0))</f>
        <v>#N/A</v>
      </c>
      <c r="T4" s="175" t="s">
        <v>399</v>
      </c>
      <c r="U4" s="168"/>
      <c r="V4" s="1278"/>
      <c r="W4" s="1278"/>
      <c r="X4" s="1278"/>
      <c r="Y4" s="1278"/>
      <c r="Z4" s="1278"/>
      <c r="AA4" s="1279"/>
      <c r="AB4" s="1040"/>
      <c r="AC4" s="1278" t="e">
        <f>INDEX(PT_DIFFERENTIATION_CS,MATCH(C4,PT_DIFFERENTIATION_CS_ID,0))</f>
        <v>#N/A</v>
      </c>
      <c r="AD4" s="1278"/>
      <c r="AE4" s="1278"/>
      <c r="AF4" s="1278"/>
      <c r="AG4" s="1278"/>
      <c r="AH4" s="1278"/>
      <c r="AI4" s="1278"/>
      <c r="AJ4" s="1279"/>
      <c r="AK4" s="726" t="s">
        <v>400</v>
      </c>
      <c r="AM4" s="66"/>
      <c r="AN4" s="66" t="str">
        <f t="shared" si="0"/>
        <v xml:space="preserve">Наименование системы теплоснабжения </v>
      </c>
      <c r="AO4" s="66"/>
      <c r="AP4" s="66"/>
      <c r="AQ4" s="10">
        <v>0</v>
      </c>
    </row>
    <row r="5" spans="1:43" ht="21" hidden="1" customHeight="1">
      <c r="A5" s="728"/>
      <c r="B5" s="728"/>
      <c r="C5" s="728"/>
      <c r="D5" s="728"/>
      <c r="E5" s="1310"/>
      <c r="F5" s="1310"/>
      <c r="G5" s="1310"/>
      <c r="H5" s="1309">
        <v>1</v>
      </c>
      <c r="I5" s="728"/>
      <c r="J5" s="728"/>
      <c r="K5" s="728"/>
      <c r="L5" s="751"/>
      <c r="M5" s="339"/>
      <c r="N5" s="339"/>
      <c r="O5" s="339"/>
      <c r="P5" s="128"/>
      <c r="Q5" s="799"/>
      <c r="R5" s="202"/>
      <c r="S5" s="706" t="e">
        <f>INDEX(PT_DIFFERENTIATION_NUM_IST_TE,MATCH(D5,PT_DIFFERENTIATION_IST_TE_ID,0))</f>
        <v>#N/A</v>
      </c>
      <c r="T5" s="176" t="s">
        <v>401</v>
      </c>
      <c r="U5" s="168"/>
      <c r="V5" s="1278"/>
      <c r="W5" s="1278"/>
      <c r="X5" s="1278"/>
      <c r="Y5" s="1278"/>
      <c r="Z5" s="1278"/>
      <c r="AA5" s="1279"/>
      <c r="AB5" s="1040"/>
      <c r="AC5" s="1278" t="e">
        <f>INDEX(PT_DIFFERENTIATION_IST_TE,MATCH(D5,PT_DIFFERENTIATION_IST_TE_ID,0))</f>
        <v>#N/A</v>
      </c>
      <c r="AD5" s="1278"/>
      <c r="AE5" s="1278"/>
      <c r="AF5" s="1278"/>
      <c r="AG5" s="1278"/>
      <c r="AH5" s="1278"/>
      <c r="AI5" s="1278"/>
      <c r="AJ5" s="1279"/>
      <c r="AK5" s="726" t="s">
        <v>402</v>
      </c>
      <c r="AM5" s="66"/>
      <c r="AN5" s="66" t="str">
        <f t="shared" si="0"/>
        <v xml:space="preserve">Источник тепловой энергии  </v>
      </c>
      <c r="AO5" s="66"/>
      <c r="AP5" s="66"/>
      <c r="AQ5" s="10">
        <v>0</v>
      </c>
    </row>
    <row r="6" spans="1:43" s="65" customFormat="1" ht="0.75" hidden="1" customHeight="1">
      <c r="A6" s="771"/>
      <c r="B6" s="771"/>
      <c r="C6" s="771"/>
      <c r="D6" s="771"/>
      <c r="E6" s="1310"/>
      <c r="F6" s="1310"/>
      <c r="G6" s="1310"/>
      <c r="H6" s="1310"/>
      <c r="I6" s="1146" t="e">
        <f>S5&amp;".1"</f>
        <v>#N/A</v>
      </c>
      <c r="J6" s="771"/>
      <c r="K6" s="771"/>
      <c r="L6" s="772" t="s">
        <v>403</v>
      </c>
      <c r="M6" s="719"/>
      <c r="N6" s="719"/>
      <c r="O6" s="719"/>
      <c r="P6" s="1287">
        <v>1</v>
      </c>
      <c r="Q6" s="119"/>
      <c r="R6" s="205"/>
      <c r="S6" s="359"/>
      <c r="T6" s="776"/>
      <c r="U6" s="777"/>
      <c r="V6" s="1315"/>
      <c r="W6" s="1315"/>
      <c r="X6" s="1315"/>
      <c r="Y6" s="1315"/>
      <c r="Z6" s="1315"/>
      <c r="AA6" s="1316"/>
      <c r="AB6" s="1042"/>
      <c r="AC6" s="1315"/>
      <c r="AD6" s="1315"/>
      <c r="AE6" s="1315"/>
      <c r="AF6" s="1315"/>
      <c r="AG6" s="1315"/>
      <c r="AH6" s="1315"/>
      <c r="AI6" s="1315"/>
      <c r="AJ6" s="1316"/>
      <c r="AK6" s="778"/>
      <c r="AM6" s="66"/>
      <c r="AN6" s="66" t="str">
        <f t="shared" si="0"/>
        <v/>
      </c>
      <c r="AO6" s="66"/>
      <c r="AP6" s="66"/>
      <c r="AQ6" s="65">
        <v>0</v>
      </c>
    </row>
    <row r="7" spans="1:43" s="65" customFormat="1" ht="0.75" hidden="1" customHeight="1">
      <c r="A7" s="771"/>
      <c r="B7" s="771"/>
      <c r="C7" s="771"/>
      <c r="D7" s="771"/>
      <c r="E7" s="1310"/>
      <c r="F7" s="1310"/>
      <c r="G7" s="1310"/>
      <c r="H7" s="1310"/>
      <c r="I7" s="1128"/>
      <c r="J7" s="1146" t="e">
        <f>S5&amp;".1"</f>
        <v>#N/A</v>
      </c>
      <c r="K7" s="771"/>
      <c r="L7" s="772"/>
      <c r="M7" s="719"/>
      <c r="N7" s="719"/>
      <c r="O7" s="719"/>
      <c r="P7" s="1287"/>
      <c r="Q7" s="1287">
        <v>1</v>
      </c>
      <c r="R7" s="206"/>
      <c r="S7" s="359"/>
      <c r="T7" s="791"/>
      <c r="U7" s="777"/>
      <c r="V7" s="1315"/>
      <c r="W7" s="1315"/>
      <c r="X7" s="1315"/>
      <c r="Y7" s="1315"/>
      <c r="Z7" s="1315"/>
      <c r="AA7" s="1316"/>
      <c r="AB7" s="1042"/>
      <c r="AC7" s="1315"/>
      <c r="AD7" s="1315"/>
      <c r="AE7" s="1315"/>
      <c r="AF7" s="1315"/>
      <c r="AG7" s="1315"/>
      <c r="AH7" s="1315"/>
      <c r="AI7" s="1315"/>
      <c r="AJ7" s="1316"/>
      <c r="AK7" s="778"/>
      <c r="AM7" s="66"/>
      <c r="AN7" s="66" t="str">
        <f t="shared" si="0"/>
        <v/>
      </c>
      <c r="AO7" s="66"/>
      <c r="AP7" s="66"/>
      <c r="AQ7" s="65">
        <v>0</v>
      </c>
    </row>
    <row r="8" spans="1:43" ht="21" hidden="1" customHeight="1">
      <c r="A8" s="728"/>
      <c r="B8" s="728"/>
      <c r="C8" s="728"/>
      <c r="D8" s="728"/>
      <c r="E8" s="1310"/>
      <c r="F8" s="1310"/>
      <c r="G8" s="1310"/>
      <c r="H8" s="1310"/>
      <c r="I8" s="1128"/>
      <c r="J8" s="1128"/>
      <c r="K8" s="40" t="e">
        <f>S5&amp;".1"</f>
        <v>#N/A</v>
      </c>
      <c r="L8" s="751"/>
      <c r="P8" s="1287"/>
      <c r="Q8" s="1287"/>
      <c r="R8" s="1057">
        <v>1</v>
      </c>
      <c r="S8" s="1044" t="e">
        <f>$K8</f>
        <v>#N/A</v>
      </c>
      <c r="T8" s="1043"/>
      <c r="U8" s="168"/>
      <c r="V8" s="303"/>
      <c r="W8" s="725"/>
      <c r="X8" s="942"/>
      <c r="Y8" s="294" t="s">
        <v>64</v>
      </c>
      <c r="Z8" s="942"/>
      <c r="AA8" s="294" t="s">
        <v>64</v>
      </c>
      <c r="AB8" s="1046"/>
      <c r="AC8" s="1045" t="s">
        <v>28</v>
      </c>
      <c r="AD8" s="303"/>
      <c r="AE8" s="725"/>
      <c r="AF8" s="942"/>
      <c r="AG8" s="294" t="s">
        <v>64</v>
      </c>
      <c r="AH8" s="942"/>
      <c r="AI8" s="294" t="s">
        <v>64</v>
      </c>
      <c r="AJ8" s="763"/>
      <c r="AK8" s="1306" t="s">
        <v>461</v>
      </c>
      <c r="AL8" s="65" t="e">
        <f ca="1">STRCHECKDATE(#REF!)</f>
        <v>#NAME?</v>
      </c>
      <c r="AM8" s="66"/>
      <c r="AN8" s="66" t="str">
        <f t="shared" si="0"/>
        <v/>
      </c>
      <c r="AO8" s="66"/>
      <c r="AP8" s="66"/>
      <c r="AQ8" s="10">
        <v>0</v>
      </c>
    </row>
    <row r="9" spans="1:43" ht="11.25" hidden="1" customHeight="1">
      <c r="A9" s="728"/>
      <c r="B9" s="728"/>
      <c r="C9" s="728"/>
      <c r="D9" s="728"/>
      <c r="E9" s="1310"/>
      <c r="F9" s="1310"/>
      <c r="G9" s="1310"/>
      <c r="H9" s="1310"/>
      <c r="I9" s="1128"/>
      <c r="J9" s="1146"/>
      <c r="K9" s="728"/>
      <c r="L9" s="751"/>
      <c r="P9" s="1287"/>
      <c r="Q9" s="1287"/>
      <c r="R9" s="205"/>
      <c r="S9" s="739"/>
      <c r="T9" s="163" t="s">
        <v>465</v>
      </c>
      <c r="U9" s="210"/>
      <c r="V9" s="210"/>
      <c r="W9" s="210"/>
      <c r="X9" s="210"/>
      <c r="Y9" s="210"/>
      <c r="Z9" s="210"/>
      <c r="AA9" s="210"/>
      <c r="AB9" s="210"/>
      <c r="AC9" s="210"/>
      <c r="AD9" s="210"/>
      <c r="AE9" s="210"/>
      <c r="AF9" s="210"/>
      <c r="AG9" s="210"/>
      <c r="AH9" s="210"/>
      <c r="AI9" s="210"/>
      <c r="AJ9" s="187"/>
      <c r="AK9" s="1308"/>
      <c r="AM9" s="66"/>
      <c r="AN9" s="66" t="str">
        <f t="shared" si="0"/>
        <v>Добавить строку</v>
      </c>
      <c r="AO9" s="66"/>
      <c r="AP9" s="66"/>
      <c r="AQ9" s="10">
        <v>0</v>
      </c>
    </row>
    <row r="10" spans="1:43" s="65" customFormat="1" ht="0.75" hidden="1" customHeight="1">
      <c r="A10" s="771"/>
      <c r="B10" s="771"/>
      <c r="C10" s="771"/>
      <c r="D10" s="771"/>
      <c r="E10" s="1310"/>
      <c r="F10" s="1310"/>
      <c r="G10" s="1310"/>
      <c r="H10" s="1310"/>
      <c r="I10" s="1146"/>
      <c r="J10" s="771"/>
      <c r="K10" s="771"/>
      <c r="L10" s="772"/>
      <c r="M10" s="719"/>
      <c r="N10" s="719"/>
      <c r="O10" s="719"/>
      <c r="P10" s="1287"/>
      <c r="Q10" s="119"/>
      <c r="R10" s="205"/>
      <c r="S10" s="779"/>
      <c r="T10" s="780"/>
      <c r="U10" s="781"/>
      <c r="V10" s="781"/>
      <c r="W10" s="781"/>
      <c r="X10" s="781"/>
      <c r="Y10" s="781"/>
      <c r="Z10" s="781"/>
      <c r="AA10" s="781"/>
      <c r="AB10" s="781"/>
      <c r="AC10" s="781"/>
      <c r="AD10" s="781"/>
      <c r="AE10" s="781"/>
      <c r="AF10" s="781"/>
      <c r="AG10" s="781"/>
      <c r="AH10" s="781"/>
      <c r="AI10" s="781"/>
      <c r="AJ10" s="781"/>
      <c r="AK10" s="782"/>
      <c r="AM10" s="66"/>
      <c r="AN10" s="66" t="str">
        <f t="shared" si="0"/>
        <v/>
      </c>
      <c r="AO10" s="66"/>
      <c r="AP10" s="66"/>
      <c r="AQ10" s="65">
        <v>0</v>
      </c>
    </row>
    <row r="11" spans="1:43" s="65" customFormat="1" ht="0.75" hidden="1" customHeight="1">
      <c r="A11" s="771"/>
      <c r="B11" s="771"/>
      <c r="C11" s="771"/>
      <c r="D11" s="771"/>
      <c r="E11" s="1310"/>
      <c r="F11" s="1310"/>
      <c r="G11" s="1310"/>
      <c r="H11" s="1309"/>
      <c r="I11" s="771"/>
      <c r="J11" s="771"/>
      <c r="K11" s="771"/>
      <c r="L11" s="772"/>
      <c r="M11" s="773"/>
      <c r="N11" s="773"/>
      <c r="O11" s="200"/>
      <c r="P11" s="101"/>
      <c r="Q11" s="752"/>
      <c r="R11" s="793"/>
      <c r="S11" s="779"/>
      <c r="T11" s="780"/>
      <c r="U11" s="781"/>
      <c r="V11" s="781"/>
      <c r="W11" s="781"/>
      <c r="X11" s="781"/>
      <c r="Y11" s="781"/>
      <c r="Z11" s="781"/>
      <c r="AA11" s="781"/>
      <c r="AB11" s="781"/>
      <c r="AC11" s="781"/>
      <c r="AD11" s="781"/>
      <c r="AE11" s="781"/>
      <c r="AF11" s="781"/>
      <c r="AG11" s="781"/>
      <c r="AH11" s="781"/>
      <c r="AI11" s="781"/>
      <c r="AJ11" s="781"/>
      <c r="AK11" s="782"/>
      <c r="AM11" s="66"/>
      <c r="AN11" s="66" t="str">
        <f t="shared" si="0"/>
        <v/>
      </c>
      <c r="AO11" s="66"/>
      <c r="AP11" s="66"/>
      <c r="AQ11" s="65">
        <v>0</v>
      </c>
    </row>
    <row r="12" spans="1:43" s="65" customFormat="1" ht="0.75" hidden="1" customHeight="1">
      <c r="A12" s="771"/>
      <c r="B12" s="771"/>
      <c r="C12" s="771"/>
      <c r="D12" s="771"/>
      <c r="E12" s="1310"/>
      <c r="F12" s="1310"/>
      <c r="G12" s="1309"/>
      <c r="H12" s="771"/>
      <c r="I12" s="771"/>
      <c r="J12" s="771"/>
      <c r="K12" s="771"/>
      <c r="L12" s="772"/>
      <c r="M12" s="773"/>
      <c r="N12" s="773"/>
      <c r="O12" s="200"/>
      <c r="P12" s="101"/>
      <c r="Q12" s="752"/>
      <c r="R12" s="101"/>
      <c r="S12" s="757"/>
      <c r="T12" s="759" t="s">
        <v>414</v>
      </c>
      <c r="U12" s="310"/>
      <c r="V12" s="310"/>
      <c r="W12" s="310"/>
      <c r="X12" s="310"/>
      <c r="Y12" s="310"/>
      <c r="Z12" s="310"/>
      <c r="AA12" s="310"/>
      <c r="AB12" s="310"/>
      <c r="AC12" s="310"/>
      <c r="AD12" s="310"/>
      <c r="AE12" s="310"/>
      <c r="AF12" s="310"/>
      <c r="AG12" s="310"/>
      <c r="AH12" s="310"/>
      <c r="AI12" s="310"/>
      <c r="AJ12" s="310"/>
      <c r="AK12" s="310"/>
      <c r="AM12" s="66"/>
      <c r="AN12" s="66" t="str">
        <f t="shared" si="0"/>
        <v>Добавить источник для дифференциации</v>
      </c>
      <c r="AO12" s="66"/>
      <c r="AP12" s="66"/>
      <c r="AQ12" s="65">
        <v>0</v>
      </c>
    </row>
    <row r="13" spans="1:43" s="65" customFormat="1" ht="0.75" hidden="1" customHeight="1">
      <c r="A13" s="771"/>
      <c r="B13" s="771"/>
      <c r="C13" s="771"/>
      <c r="D13" s="771"/>
      <c r="E13" s="1310"/>
      <c r="F13" s="1309"/>
      <c r="G13" s="771"/>
      <c r="H13" s="771"/>
      <c r="I13" s="771"/>
      <c r="J13" s="771"/>
      <c r="K13" s="771"/>
      <c r="L13" s="772"/>
      <c r="M13" s="774"/>
      <c r="N13" s="774"/>
      <c r="O13" s="200"/>
      <c r="P13" s="101"/>
      <c r="Q13" s="752"/>
      <c r="R13" s="101"/>
      <c r="S13" s="757"/>
      <c r="T13" s="759" t="s">
        <v>231</v>
      </c>
      <c r="U13" s="310"/>
      <c r="V13" s="310"/>
      <c r="W13" s="310"/>
      <c r="X13" s="310"/>
      <c r="Y13" s="310"/>
      <c r="Z13" s="310"/>
      <c r="AA13" s="310"/>
      <c r="AB13" s="310"/>
      <c r="AC13" s="310"/>
      <c r="AD13" s="310"/>
      <c r="AE13" s="310"/>
      <c r="AF13" s="310"/>
      <c r="AG13" s="310"/>
      <c r="AH13" s="310"/>
      <c r="AI13" s="310"/>
      <c r="AJ13" s="310"/>
      <c r="AK13" s="310"/>
      <c r="AM13" s="66"/>
      <c r="AN13" s="66" t="str">
        <f t="shared" si="0"/>
        <v>Добавить централизованную систему для дифференциации</v>
      </c>
      <c r="AO13" s="66"/>
      <c r="AP13" s="66"/>
      <c r="AQ13" s="65">
        <v>0</v>
      </c>
    </row>
    <row r="14" spans="1:43" s="65" customFormat="1" ht="0.75" hidden="1" customHeight="1">
      <c r="A14" s="771"/>
      <c r="B14" s="771"/>
      <c r="C14" s="771"/>
      <c r="D14" s="771"/>
      <c r="E14" s="1309"/>
      <c r="F14" s="771"/>
      <c r="G14" s="771"/>
      <c r="H14" s="771"/>
      <c r="I14" s="771"/>
      <c r="J14" s="771"/>
      <c r="K14" s="771"/>
      <c r="L14" s="772"/>
      <c r="M14" s="774"/>
      <c r="N14" s="774"/>
      <c r="O14" s="200"/>
      <c r="P14" s="101"/>
      <c r="Q14" s="752"/>
      <c r="R14" s="101"/>
      <c r="S14" s="757"/>
      <c r="T14" s="759" t="s">
        <v>232</v>
      </c>
      <c r="U14" s="310"/>
      <c r="V14" s="310"/>
      <c r="W14" s="310"/>
      <c r="X14" s="310"/>
      <c r="Y14" s="310"/>
      <c r="Z14" s="310"/>
      <c r="AA14" s="310"/>
      <c r="AB14" s="310"/>
      <c r="AC14" s="310"/>
      <c r="AD14" s="310"/>
      <c r="AE14" s="310"/>
      <c r="AF14" s="310"/>
      <c r="AG14" s="310"/>
      <c r="AH14" s="310"/>
      <c r="AI14" s="310"/>
      <c r="AJ14" s="310"/>
      <c r="AK14" s="310"/>
      <c r="AM14" s="66"/>
      <c r="AN14" s="66" t="str">
        <f t="shared" si="0"/>
        <v>Добавить территорию для дифференциации</v>
      </c>
      <c r="AO14" s="66"/>
      <c r="AP14" s="66"/>
      <c r="AQ14" s="65">
        <v>0</v>
      </c>
    </row>
    <row r="15" spans="1:43" ht="14.25" hidden="1" customHeight="1">
      <c r="AQ15" s="10">
        <v>0</v>
      </c>
    </row>
    <row r="16" spans="1:43" ht="14.25" hidden="1" customHeight="1">
      <c r="AC16" s="823"/>
      <c r="AD16" s="609"/>
      <c r="AE16" s="794"/>
      <c r="AF16" s="944"/>
      <c r="AG16" s="814" t="s">
        <v>64</v>
      </c>
      <c r="AH16" s="944"/>
      <c r="AI16" s="814" t="s">
        <v>64</v>
      </c>
      <c r="AQ16" s="10">
        <v>0</v>
      </c>
    </row>
    <row r="17" spans="1:43" ht="14.25" hidden="1" customHeight="1">
      <c r="AL17" s="200"/>
      <c r="AM17" s="200"/>
      <c r="AN17" s="200"/>
      <c r="AO17" s="200"/>
      <c r="AP17" s="200"/>
      <c r="AQ17" s="10">
        <v>0</v>
      </c>
    </row>
    <row r="18" spans="1:43" ht="14.25" hidden="1" customHeight="1">
      <c r="O18" s="761" t="s">
        <v>415</v>
      </c>
      <c r="X18" s="761"/>
      <c r="Z18" s="761"/>
      <c r="AF18" s="761"/>
      <c r="AH18" s="761"/>
      <c r="AL18" s="200"/>
      <c r="AM18" s="200"/>
      <c r="AN18" s="200"/>
      <c r="AO18" s="200"/>
      <c r="AP18" s="200"/>
      <c r="AQ18" s="10">
        <v>0</v>
      </c>
    </row>
    <row r="19" spans="1:43" ht="14.25" hidden="1" customHeight="1">
      <c r="AL19" s="200"/>
      <c r="AM19" s="200"/>
      <c r="AN19" s="200"/>
      <c r="AO19" s="200"/>
      <c r="AP19" s="200"/>
      <c r="AQ19" s="10">
        <v>0</v>
      </c>
    </row>
    <row r="20" spans="1:43" s="827" customFormat="1" ht="14.25" hidden="1" customHeight="1">
      <c r="A20" s="1048"/>
      <c r="B20" s="1048"/>
      <c r="C20" s="1048"/>
      <c r="D20" s="1048"/>
      <c r="E20" s="1048"/>
      <c r="F20" s="1048"/>
      <c r="G20" s="1048"/>
      <c r="H20" s="1048"/>
      <c r="I20" s="1048"/>
      <c r="J20" s="1048"/>
      <c r="K20" s="1048"/>
      <c r="L20" s="1048"/>
      <c r="M20" s="1049"/>
      <c r="N20" s="1049"/>
      <c r="O20" s="1048" t="s">
        <v>416</v>
      </c>
      <c r="P20" s="828"/>
      <c r="Q20" s="829"/>
      <c r="R20" s="829"/>
      <c r="Y20" s="827" t="s">
        <v>418</v>
      </c>
      <c r="AA20" s="827" t="s">
        <v>419</v>
      </c>
      <c r="AC20" s="827" t="s">
        <v>467</v>
      </c>
      <c r="AG20" s="827" t="s">
        <v>418</v>
      </c>
      <c r="AI20" s="827" t="s">
        <v>419</v>
      </c>
      <c r="AL20" s="830"/>
      <c r="AM20" s="830"/>
      <c r="AN20" s="830"/>
      <c r="AO20" s="830"/>
      <c r="AP20" s="830"/>
      <c r="AQ20" s="827">
        <v>0</v>
      </c>
    </row>
    <row r="21" spans="1:43" ht="14.25" hidden="1" customHeight="1">
      <c r="O21" s="751"/>
      <c r="AL21" s="200"/>
      <c r="AM21" s="200"/>
      <c r="AN21" s="200"/>
      <c r="AO21" s="200"/>
      <c r="AP21" s="200"/>
      <c r="AQ21" s="10">
        <v>0</v>
      </c>
    </row>
    <row r="22" spans="1:43" ht="14.25" hidden="1" customHeight="1">
      <c r="O22" s="751"/>
      <c r="AL22" s="200"/>
      <c r="AM22" s="200"/>
      <c r="AN22" s="200"/>
      <c r="AO22" s="200"/>
      <c r="AP22" s="200"/>
      <c r="AQ22" s="10">
        <v>0</v>
      </c>
    </row>
    <row r="23" spans="1:43" ht="14.65" customHeight="1">
      <c r="Q23" s="165"/>
      <c r="R23" s="27"/>
      <c r="S23" s="736"/>
      <c r="T23" s="9"/>
      <c r="U23" s="9"/>
      <c r="AQ23" s="10">
        <v>14</v>
      </c>
    </row>
    <row r="24" spans="1:43" ht="39.75" customHeight="1">
      <c r="Q24" s="165"/>
      <c r="R24" s="27"/>
      <c r="S24" s="12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4"/>
      <c r="U24" s="1264"/>
      <c r="V24" s="1264"/>
      <c r="W24" s="1264"/>
      <c r="X24" s="1264"/>
      <c r="Y24" s="1264"/>
      <c r="Z24" s="1264"/>
      <c r="AA24" s="1264"/>
      <c r="AB24" s="1264"/>
      <c r="AC24" s="1264"/>
      <c r="AD24" s="1264"/>
      <c r="AE24" s="1264"/>
      <c r="AF24" s="1264"/>
      <c r="AG24" s="1264"/>
      <c r="AH24" s="1264"/>
      <c r="AI24" s="57"/>
      <c r="AQ24" s="10">
        <v>38</v>
      </c>
    </row>
    <row r="25" spans="1:43" ht="14.65" customHeight="1">
      <c r="Q25" s="165"/>
      <c r="R25" s="27"/>
      <c r="S25" s="1236" t="str">
        <f>IF(org=0,"Не определено",org)</f>
        <v>Общество с ограниченной ответственностью "Березовский рудник"</v>
      </c>
      <c r="T25" s="1236"/>
      <c r="U25" s="1236"/>
      <c r="V25" s="1236"/>
      <c r="W25" s="1236"/>
      <c r="X25" s="1236"/>
      <c r="Y25" s="1236"/>
      <c r="Z25" s="1236"/>
      <c r="AA25" s="1236"/>
      <c r="AB25" s="1236"/>
      <c r="AC25" s="1236"/>
      <c r="AD25" s="1236"/>
      <c r="AE25" s="1236"/>
      <c r="AF25" s="1236"/>
      <c r="AG25" s="1236"/>
      <c r="AH25" s="1236"/>
      <c r="AI25" s="57"/>
      <c r="AQ25" s="10">
        <v>14</v>
      </c>
    </row>
    <row r="26" spans="1:43" ht="14.25" hidden="1" customHeight="1">
      <c r="Q26" s="165"/>
      <c r="R26" s="27"/>
      <c r="S26" s="736"/>
      <c r="T26" s="9"/>
      <c r="U26" s="9"/>
      <c r="V26" s="186"/>
      <c r="W26" s="186"/>
      <c r="X26" s="186"/>
      <c r="Y26" s="186"/>
      <c r="Z26" s="186"/>
      <c r="AA26" s="186"/>
      <c r="AB26" s="186"/>
      <c r="AC26" s="186"/>
      <c r="AD26" s="186"/>
      <c r="AE26" s="186"/>
      <c r="AF26" s="186"/>
      <c r="AG26" s="186"/>
      <c r="AH26" s="186"/>
      <c r="AI26" s="186"/>
      <c r="AQ26" s="10">
        <v>0</v>
      </c>
    </row>
    <row r="27" spans="1:43" s="34" customFormat="1" ht="25.5" hidden="1" customHeight="1">
      <c r="A27" s="16"/>
      <c r="B27" s="16"/>
      <c r="C27" s="16"/>
      <c r="D27" s="16"/>
      <c r="E27" s="16"/>
      <c r="F27" s="16"/>
      <c r="G27" s="16"/>
      <c r="H27" s="16"/>
      <c r="I27" s="16"/>
      <c r="J27" s="16"/>
      <c r="K27" s="16"/>
      <c r="L27" s="751"/>
      <c r="M27" s="16"/>
      <c r="N27" s="16"/>
      <c r="O27" s="16"/>
      <c r="P27" s="79"/>
      <c r="Q27" s="79"/>
      <c r="S27" s="1274" t="s">
        <v>41</v>
      </c>
      <c r="T27" s="1274"/>
      <c r="U27" s="770"/>
      <c r="V27" s="1276" t="str">
        <f>IF(TITLE_NAME_OR_PR_CHANGE="",IF(TITLE_NAME_OR_PR="","",TITLE_NAME_OR_PR),TITLE_NAME_OR_PR_CHANGE)</f>
        <v/>
      </c>
      <c r="W27" s="1276"/>
      <c r="X27" s="1276"/>
      <c r="Y27" s="1276"/>
      <c r="Z27" s="1276"/>
      <c r="AA27" s="10"/>
      <c r="AB27" s="10"/>
      <c r="AC27" s="1276"/>
      <c r="AD27" s="1276"/>
      <c r="AE27" s="1276"/>
      <c r="AF27" s="1276"/>
      <c r="AG27" s="1276"/>
      <c r="AH27" s="1276"/>
      <c r="AI27" s="10"/>
      <c r="AJ27" s="10"/>
      <c r="AK27" s="160"/>
      <c r="AL27" s="66"/>
      <c r="AM27" s="66"/>
      <c r="AN27" s="66"/>
      <c r="AO27" s="66"/>
      <c r="AP27" s="66"/>
      <c r="AQ27" s="34">
        <v>0</v>
      </c>
    </row>
    <row r="28" spans="1:43" s="34" customFormat="1" ht="18.75" hidden="1" customHeight="1">
      <c r="A28" s="16"/>
      <c r="B28" s="16"/>
      <c r="C28" s="16"/>
      <c r="D28" s="16"/>
      <c r="E28" s="16"/>
      <c r="F28" s="16"/>
      <c r="G28" s="16"/>
      <c r="H28" s="16"/>
      <c r="I28" s="16"/>
      <c r="J28" s="16"/>
      <c r="K28" s="16"/>
      <c r="L28" s="751"/>
      <c r="M28" s="16"/>
      <c r="N28" s="16"/>
      <c r="O28" s="16"/>
      <c r="P28" s="79"/>
      <c r="Q28" s="79"/>
      <c r="S28" s="1274" t="s">
        <v>421</v>
      </c>
      <c r="T28" s="1274"/>
      <c r="U28" s="770"/>
      <c r="V28" s="1275">
        <f>IF(TITLE_DATE_PR_CHANGE="",IF(TITLE_DATE_PR="","",TITLE_DATE_PR),TITLE_DATE_PR_CHANGE)</f>
        <v>45805</v>
      </c>
      <c r="W28" s="1275"/>
      <c r="X28" s="1275"/>
      <c r="Y28" s="1275"/>
      <c r="Z28" s="1275"/>
      <c r="AA28" s="10"/>
      <c r="AB28" s="10"/>
      <c r="AC28" s="1275"/>
      <c r="AD28" s="1275"/>
      <c r="AE28" s="1275"/>
      <c r="AF28" s="1275"/>
      <c r="AG28" s="1275"/>
      <c r="AH28" s="1275"/>
      <c r="AI28" s="10"/>
      <c r="AJ28" s="10"/>
      <c r="AK28" s="160"/>
      <c r="AL28" s="66"/>
      <c r="AM28" s="66"/>
      <c r="AN28" s="66"/>
      <c r="AO28" s="66"/>
      <c r="AP28" s="66"/>
      <c r="AQ28" s="34">
        <v>0</v>
      </c>
    </row>
    <row r="29" spans="1:43" s="34" customFormat="1" ht="18.75" hidden="1" customHeight="1">
      <c r="A29" s="16"/>
      <c r="B29" s="16"/>
      <c r="C29" s="16"/>
      <c r="D29" s="16"/>
      <c r="E29" s="16"/>
      <c r="F29" s="16"/>
      <c r="G29" s="16"/>
      <c r="H29" s="16"/>
      <c r="I29" s="16"/>
      <c r="J29" s="16"/>
      <c r="K29" s="16"/>
      <c r="L29" s="751"/>
      <c r="M29" s="16"/>
      <c r="N29" s="16"/>
      <c r="O29" s="16"/>
      <c r="P29" s="79"/>
      <c r="Q29" s="79"/>
      <c r="S29" s="1274" t="s">
        <v>422</v>
      </c>
      <c r="T29" s="1274"/>
      <c r="U29" s="770"/>
      <c r="V29" s="1276" t="str">
        <f>IF(TITLE_NUMBER_PR_CHANGE="",IF(TITLE_NUMBER_PR="","",TITLE_NUMBER_PR),TITLE_NUMBER_PR_CHANGE)</f>
        <v>2496</v>
      </c>
      <c r="W29" s="1276"/>
      <c r="X29" s="1276"/>
      <c r="Y29" s="1276"/>
      <c r="Z29" s="1276"/>
      <c r="AA29" s="10"/>
      <c r="AB29" s="10"/>
      <c r="AC29" s="1276"/>
      <c r="AD29" s="1276"/>
      <c r="AE29" s="1276"/>
      <c r="AF29" s="1276"/>
      <c r="AG29" s="1276"/>
      <c r="AH29" s="1276"/>
      <c r="AI29" s="10"/>
      <c r="AJ29" s="10"/>
      <c r="AK29" s="160"/>
      <c r="AL29" s="66"/>
      <c r="AM29" s="66"/>
      <c r="AN29" s="66"/>
      <c r="AO29" s="66"/>
      <c r="AP29" s="66"/>
      <c r="AQ29" s="34">
        <v>0</v>
      </c>
    </row>
    <row r="30" spans="1:43" s="34" customFormat="1" ht="18.75" hidden="1" customHeight="1">
      <c r="A30" s="16"/>
      <c r="B30" s="16"/>
      <c r="C30" s="16"/>
      <c r="D30" s="16"/>
      <c r="E30" s="16"/>
      <c r="F30" s="16"/>
      <c r="G30" s="16"/>
      <c r="H30" s="16"/>
      <c r="I30" s="16"/>
      <c r="J30" s="16"/>
      <c r="K30" s="16"/>
      <c r="L30" s="751"/>
      <c r="M30" s="16"/>
      <c r="N30" s="16"/>
      <c r="O30" s="16"/>
      <c r="P30" s="79"/>
      <c r="Q30" s="79"/>
      <c r="S30" s="1274" t="s">
        <v>42</v>
      </c>
      <c r="T30" s="1274"/>
      <c r="U30" s="770"/>
      <c r="V30" s="1276" t="str">
        <f>IF(TITLE_IST_PUB_CHANGE="",IF(TITLE_IST_PUB="","",TITLE_IST_PUB),TITLE_IST_PUB_CHANGE)</f>
        <v/>
      </c>
      <c r="W30" s="1276"/>
      <c r="X30" s="1276"/>
      <c r="Y30" s="1276"/>
      <c r="Z30" s="1276"/>
      <c r="AA30" s="10"/>
      <c r="AB30" s="10"/>
      <c r="AC30" s="1276"/>
      <c r="AD30" s="1276"/>
      <c r="AE30" s="1276"/>
      <c r="AF30" s="1276"/>
      <c r="AG30" s="1276"/>
      <c r="AH30" s="1276"/>
      <c r="AI30" s="10"/>
      <c r="AJ30" s="10"/>
      <c r="AK30" s="160"/>
      <c r="AL30" s="66"/>
      <c r="AM30" s="66"/>
      <c r="AN30" s="66"/>
      <c r="AO30" s="66"/>
      <c r="AP30" s="66"/>
      <c r="AQ30" s="34">
        <v>0</v>
      </c>
    </row>
    <row r="31" spans="1:43" ht="14.25" hidden="1" customHeight="1">
      <c r="Q31" s="165"/>
      <c r="R31" s="27"/>
      <c r="S31" s="736"/>
      <c r="T31" s="9"/>
      <c r="U31" s="9"/>
      <c r="V31" s="186"/>
      <c r="W31" s="186"/>
      <c r="X31" s="186"/>
      <c r="Y31" s="186"/>
      <c r="Z31" s="186"/>
      <c r="AA31" s="186"/>
      <c r="AB31" s="186"/>
      <c r="AC31" s="186"/>
      <c r="AD31" s="186"/>
      <c r="AE31" s="186"/>
      <c r="AF31" s="186"/>
      <c r="AG31" s="186"/>
      <c r="AH31" s="186"/>
      <c r="AI31" s="186"/>
      <c r="AQ31" s="10">
        <v>0</v>
      </c>
    </row>
    <row r="32" spans="1:43" s="34" customFormat="1" ht="18.75" hidden="1" customHeight="1">
      <c r="A32" s="16"/>
      <c r="B32" s="16"/>
      <c r="C32" s="16"/>
      <c r="D32" s="16"/>
      <c r="E32" s="16"/>
      <c r="F32" s="16"/>
      <c r="G32" s="16"/>
      <c r="H32" s="16"/>
      <c r="I32" s="16"/>
      <c r="J32" s="16"/>
      <c r="K32" s="16"/>
      <c r="L32" s="751"/>
      <c r="M32" s="16"/>
      <c r="N32" s="16"/>
      <c r="O32" s="16"/>
      <c r="P32" s="79"/>
      <c r="Q32" s="79"/>
      <c r="S32" s="1274" t="s">
        <v>421</v>
      </c>
      <c r="T32" s="1274"/>
      <c r="U32" s="770"/>
      <c r="V32" s="1275">
        <f>IF(TITLE_DATE_PR_CHANGE="",IF(TITLE_DATE_PR="","",TITLE_DATE_PR),TITLE_DATE_PR_CHANGE)</f>
        <v>45805</v>
      </c>
      <c r="W32" s="1275"/>
      <c r="X32" s="1275"/>
      <c r="Y32" s="1275"/>
      <c r="Z32" s="1275"/>
      <c r="AA32" s="10"/>
      <c r="AB32" s="10"/>
      <c r="AC32" s="1275"/>
      <c r="AD32" s="1275"/>
      <c r="AE32" s="1275"/>
      <c r="AF32" s="1275"/>
      <c r="AG32" s="1275"/>
      <c r="AH32" s="1275"/>
      <c r="AI32" s="10"/>
      <c r="AJ32" s="10"/>
      <c r="AK32" s="160"/>
      <c r="AL32" s="66"/>
      <c r="AM32" s="66"/>
      <c r="AN32" s="66"/>
      <c r="AO32" s="66"/>
      <c r="AP32" s="66"/>
      <c r="AQ32" s="34">
        <v>0</v>
      </c>
    </row>
    <row r="33" spans="1:43" s="34" customFormat="1" ht="18" hidden="1" customHeight="1">
      <c r="A33" s="16"/>
      <c r="B33" s="16"/>
      <c r="C33" s="16"/>
      <c r="D33" s="16"/>
      <c r="E33" s="16"/>
      <c r="F33" s="16"/>
      <c r="G33" s="16"/>
      <c r="H33" s="16"/>
      <c r="I33" s="16"/>
      <c r="J33" s="16"/>
      <c r="K33" s="16"/>
      <c r="L33" s="751"/>
      <c r="M33" s="16"/>
      <c r="N33" s="16"/>
      <c r="O33" s="16"/>
      <c r="P33" s="79"/>
      <c r="Q33" s="79"/>
      <c r="S33" s="1274" t="s">
        <v>422</v>
      </c>
      <c r="T33" s="1274"/>
      <c r="U33" s="770"/>
      <c r="V33" s="1276" t="str">
        <f>IF(TITLE_NUMBER_PR_CHANGE="",IF(TITLE_NUMBER_PR="","",TITLE_NUMBER_PR),TITLE_NUMBER_PR_CHANGE)</f>
        <v>2496</v>
      </c>
      <c r="W33" s="1276"/>
      <c r="X33" s="1276"/>
      <c r="Y33" s="1276"/>
      <c r="Z33" s="1276"/>
      <c r="AA33" s="10"/>
      <c r="AB33" s="10"/>
      <c r="AC33" s="1276"/>
      <c r="AD33" s="1276"/>
      <c r="AE33" s="1276"/>
      <c r="AF33" s="1276"/>
      <c r="AG33" s="1276"/>
      <c r="AH33" s="1276"/>
      <c r="AI33" s="10"/>
      <c r="AJ33" s="10"/>
      <c r="AK33" s="160"/>
      <c r="AL33" s="66"/>
      <c r="AM33" s="66"/>
      <c r="AN33" s="66"/>
      <c r="AO33" s="66"/>
      <c r="AP33" s="66"/>
      <c r="AQ33" s="34">
        <v>0</v>
      </c>
    </row>
    <row r="34" spans="1:43" s="34" customFormat="1" ht="1.1499999999999999" customHeight="1">
      <c r="A34" s="16"/>
      <c r="B34" s="16"/>
      <c r="C34" s="16"/>
      <c r="D34" s="16"/>
      <c r="E34" s="16"/>
      <c r="F34" s="16"/>
      <c r="G34" s="16"/>
      <c r="H34" s="16"/>
      <c r="I34" s="16"/>
      <c r="J34" s="16"/>
      <c r="K34" s="16"/>
      <c r="L34" s="751"/>
      <c r="M34" s="16"/>
      <c r="N34" s="16"/>
      <c r="O34" s="16"/>
      <c r="P34" s="79"/>
      <c r="Q34" s="79"/>
      <c r="S34" s="10"/>
      <c r="T34" s="10"/>
      <c r="U34" s="75"/>
      <c r="V34" s="10"/>
      <c r="W34" s="10"/>
      <c r="X34" s="10"/>
      <c r="Y34" s="10"/>
      <c r="Z34" s="10"/>
      <c r="AA34" s="65" t="s">
        <v>425</v>
      </c>
      <c r="AB34" s="65"/>
      <c r="AC34" s="10"/>
      <c r="AD34" s="10"/>
      <c r="AE34" s="10"/>
      <c r="AF34" s="10"/>
      <c r="AG34" s="10"/>
      <c r="AH34" s="10"/>
      <c r="AI34" s="65" t="s">
        <v>425</v>
      </c>
      <c r="AL34" s="66"/>
      <c r="AM34" s="66"/>
      <c r="AN34" s="66"/>
      <c r="AO34" s="66"/>
      <c r="AP34" s="66"/>
      <c r="AQ34" s="34">
        <v>1</v>
      </c>
    </row>
    <row r="35" spans="1:43" ht="14.65" customHeight="1">
      <c r="Q35" s="165"/>
      <c r="R35" s="27"/>
      <c r="S35" s="736"/>
      <c r="T35" s="9"/>
      <c r="U35" s="717"/>
      <c r="V35" s="1295"/>
      <c r="W35" s="1295"/>
      <c r="X35" s="1295"/>
      <c r="Y35" s="1295"/>
      <c r="Z35" s="1295"/>
      <c r="AA35" s="1295"/>
      <c r="AB35" s="1041"/>
      <c r="AC35" s="1295"/>
      <c r="AD35" s="1295"/>
      <c r="AE35" s="1295"/>
      <c r="AF35" s="1295"/>
      <c r="AG35" s="1295"/>
      <c r="AH35" s="1295"/>
      <c r="AI35" s="1295"/>
      <c r="AQ35" s="10">
        <v>14</v>
      </c>
    </row>
    <row r="36" spans="1:43" ht="14.65" customHeight="1">
      <c r="Q36" s="165"/>
      <c r="R36" s="27"/>
      <c r="S36" s="1146" t="s">
        <v>300</v>
      </c>
      <c r="T36" s="1146"/>
      <c r="U36" s="1146"/>
      <c r="V36" s="1146"/>
      <c r="W36" s="1146"/>
      <c r="X36" s="1146"/>
      <c r="Y36" s="1146"/>
      <c r="Z36" s="1146"/>
      <c r="AA36" s="1216"/>
      <c r="AB36" s="1216"/>
      <c r="AC36" s="1216"/>
      <c r="AD36" s="1146"/>
      <c r="AE36" s="1146"/>
      <c r="AF36" s="1146"/>
      <c r="AG36" s="1146"/>
      <c r="AH36" s="1146"/>
      <c r="AI36" s="1146"/>
      <c r="AJ36" s="1146"/>
      <c r="AK36" s="1146" t="s">
        <v>301</v>
      </c>
      <c r="AQ36" s="10">
        <v>14</v>
      </c>
    </row>
    <row r="37" spans="1:43" ht="14.65" customHeight="1">
      <c r="Q37" s="165"/>
      <c r="R37" s="27"/>
      <c r="S37" s="1296" t="s">
        <v>86</v>
      </c>
      <c r="T37" s="1244" t="s">
        <v>498</v>
      </c>
      <c r="U37" s="169"/>
      <c r="V37" s="1298"/>
      <c r="W37" s="1298"/>
      <c r="X37" s="1298"/>
      <c r="Y37" s="1298"/>
      <c r="Z37" s="1298"/>
      <c r="AA37" s="1244" t="s">
        <v>428</v>
      </c>
      <c r="AB37" s="1243" t="s">
        <v>499</v>
      </c>
      <c r="AC37" s="1243" t="s">
        <v>471</v>
      </c>
      <c r="AD37" s="1313" t="s">
        <v>427</v>
      </c>
      <c r="AE37" s="1313"/>
      <c r="AF37" s="1298"/>
      <c r="AG37" s="1298"/>
      <c r="AH37" s="1299"/>
      <c r="AI37" s="1300" t="s">
        <v>428</v>
      </c>
      <c r="AJ37" s="1303" t="s">
        <v>430</v>
      </c>
      <c r="AK37" s="1146"/>
      <c r="AQ37" s="10">
        <v>14</v>
      </c>
    </row>
    <row r="38" spans="1:43" ht="35.65" customHeight="1">
      <c r="Q38" s="165"/>
      <c r="R38" s="27"/>
      <c r="S38" s="1296"/>
      <c r="T38" s="1244"/>
      <c r="U38" s="604"/>
      <c r="V38" s="1127" t="s">
        <v>474</v>
      </c>
      <c r="W38" s="1146"/>
      <c r="X38" s="1217" t="s">
        <v>434</v>
      </c>
      <c r="Y38" s="1325"/>
      <c r="Z38" s="1325"/>
      <c r="AA38" s="1244"/>
      <c r="AB38" s="1243"/>
      <c r="AC38" s="1243"/>
      <c r="AD38" s="1127" t="s">
        <v>474</v>
      </c>
      <c r="AE38" s="1146"/>
      <c r="AF38" s="1325" t="s">
        <v>434</v>
      </c>
      <c r="AG38" s="1325"/>
      <c r="AH38" s="1218"/>
      <c r="AI38" s="1301"/>
      <c r="AJ38" s="1304"/>
      <c r="AK38" s="1146"/>
      <c r="AQ38" s="10">
        <v>34</v>
      </c>
    </row>
    <row r="39" spans="1:43" ht="14.65" customHeight="1">
      <c r="Q39" s="165"/>
      <c r="R39" s="27"/>
      <c r="S39" s="1296"/>
      <c r="T39" s="1244"/>
      <c r="U39" s="604"/>
      <c r="V39" s="1349" t="str">
        <f>IF($AD$39&lt;&gt;"",$AD$39,"")</f>
        <v/>
      </c>
      <c r="W39" s="1349"/>
      <c r="X39" s="1222"/>
      <c r="Y39" s="1326"/>
      <c r="Z39" s="1326"/>
      <c r="AA39" s="1244"/>
      <c r="AB39" s="1243"/>
      <c r="AC39" s="1243"/>
      <c r="AD39" s="1358"/>
      <c r="AE39" s="1348"/>
      <c r="AF39" s="1326"/>
      <c r="AG39" s="1326"/>
      <c r="AH39" s="1223"/>
      <c r="AI39" s="1301"/>
      <c r="AJ39" s="1304"/>
      <c r="AK39" s="1146"/>
      <c r="AQ39" s="10">
        <v>14</v>
      </c>
    </row>
    <row r="40" spans="1:43" ht="14.65" customHeight="1">
      <c r="A40" s="16"/>
      <c r="B40" s="16" t="s">
        <v>133</v>
      </c>
      <c r="C40" s="16" t="s">
        <v>134</v>
      </c>
      <c r="D40" s="16" t="s">
        <v>135</v>
      </c>
      <c r="E40" s="751" t="s">
        <v>435</v>
      </c>
      <c r="F40" s="751" t="s">
        <v>436</v>
      </c>
      <c r="G40" s="751" t="s">
        <v>437</v>
      </c>
      <c r="H40" s="751" t="s">
        <v>438</v>
      </c>
      <c r="I40" s="751" t="s">
        <v>439</v>
      </c>
      <c r="J40" s="751" t="s">
        <v>440</v>
      </c>
      <c r="K40" s="751" t="s">
        <v>441</v>
      </c>
      <c r="L40" s="751" t="s">
        <v>416</v>
      </c>
      <c r="Q40" s="165"/>
      <c r="R40" s="27"/>
      <c r="S40" s="1296"/>
      <c r="T40" s="1244"/>
      <c r="U40" s="170"/>
      <c r="V40" s="35" t="s">
        <v>475</v>
      </c>
      <c r="W40" s="35" t="s">
        <v>476</v>
      </c>
      <c r="X40" s="38" t="s">
        <v>444</v>
      </c>
      <c r="Y40" s="1249" t="s">
        <v>445</v>
      </c>
      <c r="Z40" s="1262"/>
      <c r="AA40" s="1244"/>
      <c r="AB40" s="1243"/>
      <c r="AC40" s="1243"/>
      <c r="AD40" s="1047" t="s">
        <v>475</v>
      </c>
      <c r="AE40" s="1004" t="s">
        <v>476</v>
      </c>
      <c r="AF40" s="38" t="s">
        <v>444</v>
      </c>
      <c r="AG40" s="1249" t="s">
        <v>445</v>
      </c>
      <c r="AH40" s="1263"/>
      <c r="AI40" s="1302"/>
      <c r="AJ40" s="1305"/>
      <c r="AK40" s="1146"/>
      <c r="AQ40" s="10">
        <v>14</v>
      </c>
    </row>
    <row r="41" spans="1:43" s="200" customFormat="1" ht="11.25" hidden="1" customHeight="1">
      <c r="A41" s="16"/>
      <c r="B41" s="16"/>
      <c r="C41" s="16"/>
      <c r="D41" s="16"/>
      <c r="E41" s="16"/>
      <c r="F41" s="16"/>
      <c r="G41" s="16"/>
      <c r="H41" s="16"/>
      <c r="I41" s="16"/>
      <c r="J41" s="16"/>
      <c r="K41" s="16"/>
      <c r="L41" s="751"/>
      <c r="M41" s="32"/>
      <c r="N41" s="32"/>
      <c r="O41" s="32"/>
      <c r="P41" s="287"/>
      <c r="Q41" s="722"/>
      <c r="R41" s="722">
        <v>1</v>
      </c>
      <c r="S41" s="738" t="s">
        <v>107</v>
      </c>
      <c r="T41" s="723" t="s">
        <v>108</v>
      </c>
      <c r="U41" s="718" t="str">
        <f ca="1">OFFSET(U41,0,-1)</f>
        <v>2</v>
      </c>
      <c r="V41" s="724">
        <f ca="1">OFFSET(V41,0,-1)+1</f>
        <v>3</v>
      </c>
      <c r="W41" s="724">
        <f ca="1">OFFSET(W41,0,-1)+1</f>
        <v>4</v>
      </c>
      <c r="X41" s="724">
        <f ca="1">OFFSET(X41,0,-1)+1</f>
        <v>5</v>
      </c>
      <c r="Y41" s="1294">
        <f ca="1">OFFSET(Y41,0,-1)+1</f>
        <v>6</v>
      </c>
      <c r="Z41" s="1294"/>
      <c r="AA41" s="283">
        <f ca="1">OFFSET(AA41,0,-2)+1</f>
        <v>7</v>
      </c>
      <c r="AB41" s="283"/>
      <c r="AC41" s="283"/>
      <c r="AD41" s="724">
        <f ca="1">OFFSET(AD41,0,-1)+1</f>
        <v>1</v>
      </c>
      <c r="AE41" s="724">
        <f ca="1">OFFSET(AE41,0,-1)+1</f>
        <v>2</v>
      </c>
      <c r="AF41" s="724">
        <f ca="1">OFFSET(AF41,0,-1)+1</f>
        <v>3</v>
      </c>
      <c r="AG41" s="1294">
        <f ca="1">OFFSET(AG41,0,-1)+1</f>
        <v>4</v>
      </c>
      <c r="AH41" s="1294"/>
      <c r="AI41" s="724">
        <f ca="1">OFFSET(AI41,0,-2)+1</f>
        <v>5</v>
      </c>
      <c r="AJ41" s="718">
        <f ca="1">OFFSET(AJ41,0,-1)</f>
        <v>5</v>
      </c>
      <c r="AK41" s="724">
        <f ca="1">OFFSET(AK41,0,-1)+1</f>
        <v>6</v>
      </c>
      <c r="AL41" s="65"/>
      <c r="AM41" s="65"/>
      <c r="AN41" s="65"/>
      <c r="AO41" s="65"/>
      <c r="AP41" s="65"/>
      <c r="AQ41" s="200">
        <v>0</v>
      </c>
    </row>
    <row r="42" spans="1:43" ht="107.25" customHeight="1">
      <c r="A42" s="728" t="s">
        <v>202</v>
      </c>
      <c r="B42" s="728"/>
      <c r="C42" s="728"/>
      <c r="D42" s="728"/>
      <c r="E42" s="1309">
        <v>1</v>
      </c>
      <c r="F42" s="728"/>
      <c r="G42" s="728"/>
      <c r="H42" s="728"/>
      <c r="I42" s="728"/>
      <c r="J42" s="728"/>
      <c r="K42" s="728"/>
      <c r="L42" s="751"/>
      <c r="M42" s="339"/>
      <c r="N42" s="339"/>
      <c r="O42" s="339"/>
      <c r="Q42" s="59"/>
      <c r="R42" s="204"/>
      <c r="S42" s="706">
        <f>INDEX(PT_DIFFERENTIATION_NUM_NTAR,MATCH(A42,PT_DIFFERENTIATION_NTAR_ID,0))</f>
        <v>0</v>
      </c>
      <c r="T42" s="64" t="s">
        <v>121</v>
      </c>
      <c r="U42" s="168"/>
      <c r="V42" s="1278"/>
      <c r="W42" s="1278"/>
      <c r="X42" s="1278"/>
      <c r="Y42" s="1278"/>
      <c r="Z42" s="1278"/>
      <c r="AA42" s="1279"/>
      <c r="AB42" s="1040"/>
      <c r="AC42" s="1278" t="str">
        <f>INDEX(PT_DIFFERENTIATION_NTAR,MATCH(A42,PT_DIFFERENTIATION_NTAR_ID,0))</f>
        <v/>
      </c>
      <c r="AD42" s="1278"/>
      <c r="AE42" s="1278"/>
      <c r="AF42" s="1278"/>
      <c r="AG42" s="1278"/>
      <c r="AH42" s="1278"/>
      <c r="AI42" s="1278"/>
      <c r="AJ42" s="1279"/>
      <c r="AK42" s="72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6"/>
      <c r="AN42" s="66" t="str">
        <f t="shared" ref="AN42:AN56" si="1">IF(T42="","",T42)</f>
        <v>Наименование тарифа</v>
      </c>
      <c r="AO42" s="66"/>
      <c r="AP42" s="66"/>
      <c r="AQ42" s="10">
        <v>102</v>
      </c>
    </row>
    <row r="43" spans="1:43" ht="21.95" customHeight="1">
      <c r="A43" s="728" t="s">
        <v>202</v>
      </c>
      <c r="B43" s="728" t="s">
        <v>203</v>
      </c>
      <c r="C43" s="728"/>
      <c r="D43" s="728"/>
      <c r="E43" s="1310"/>
      <c r="F43" s="1309">
        <v>1</v>
      </c>
      <c r="G43" s="728"/>
      <c r="H43" s="728"/>
      <c r="I43" s="728"/>
      <c r="J43" s="728"/>
      <c r="K43" s="728"/>
      <c r="L43" s="751"/>
      <c r="M43" s="339"/>
      <c r="N43" s="339"/>
      <c r="O43" s="339"/>
      <c r="P43" s="298"/>
      <c r="Q43" s="799"/>
      <c r="R43" s="202"/>
      <c r="S43" s="706" t="str">
        <f>INDEX(PT_DIFFERENTIATION_NUM_TER,MATCH(B43,PT_DIFFERENTIATION_TER_ID,0))</f>
        <v>.</v>
      </c>
      <c r="T43" s="174" t="s">
        <v>397</v>
      </c>
      <c r="U43" s="168"/>
      <c r="V43" s="1278"/>
      <c r="W43" s="1278"/>
      <c r="X43" s="1278"/>
      <c r="Y43" s="1278"/>
      <c r="Z43" s="1278"/>
      <c r="AA43" s="1279"/>
      <c r="AB43" s="1040"/>
      <c r="AC43" s="1278" t="str">
        <f>INDEX(PT_DIFFERENTIATION_TER,MATCH(B43,PT_DIFFERENTIATION_TER_ID,0))</f>
        <v/>
      </c>
      <c r="AD43" s="1278"/>
      <c r="AE43" s="1278"/>
      <c r="AF43" s="1278"/>
      <c r="AG43" s="1278"/>
      <c r="AH43" s="1278"/>
      <c r="AI43" s="1278"/>
      <c r="AJ43" s="1279"/>
      <c r="AK43" s="726" t="s">
        <v>398</v>
      </c>
      <c r="AM43" s="66"/>
      <c r="AN43" s="66" t="str">
        <f t="shared" si="1"/>
        <v>Территория действия тарифа</v>
      </c>
      <c r="AO43" s="66"/>
      <c r="AP43" s="66"/>
      <c r="AQ43" s="10">
        <v>21</v>
      </c>
    </row>
    <row r="44" spans="1:43" ht="24" customHeight="1">
      <c r="A44" s="728" t="s">
        <v>202</v>
      </c>
      <c r="B44" s="728" t="s">
        <v>203</v>
      </c>
      <c r="C44" s="728" t="s">
        <v>204</v>
      </c>
      <c r="D44" s="728"/>
      <c r="E44" s="1310"/>
      <c r="F44" s="1310"/>
      <c r="G44" s="1309">
        <v>1</v>
      </c>
      <c r="H44" s="728"/>
      <c r="I44" s="728"/>
      <c r="J44" s="728"/>
      <c r="K44" s="728"/>
      <c r="L44" s="751"/>
      <c r="M44" s="339"/>
      <c r="N44" s="339"/>
      <c r="O44" s="339"/>
      <c r="P44" s="128"/>
      <c r="Q44" s="799"/>
      <c r="R44" s="202"/>
      <c r="S44" s="706" t="str">
        <f>INDEX(PT_DIFFERENTIATION_NUM_CS,MATCH(C44,PT_DIFFERENTIATION_CS_ID,0))</f>
        <v>..</v>
      </c>
      <c r="T44" s="175" t="s">
        <v>399</v>
      </c>
      <c r="U44" s="168"/>
      <c r="V44" s="1278"/>
      <c r="W44" s="1278"/>
      <c r="X44" s="1278"/>
      <c r="Y44" s="1278"/>
      <c r="Z44" s="1278"/>
      <c r="AA44" s="1279"/>
      <c r="AB44" s="1040"/>
      <c r="AC44" s="1278" t="str">
        <f>INDEX(PT_DIFFERENTIATION_CS,MATCH(C44,PT_DIFFERENTIATION_CS_ID,0))</f>
        <v/>
      </c>
      <c r="AD44" s="1278"/>
      <c r="AE44" s="1278"/>
      <c r="AF44" s="1278"/>
      <c r="AG44" s="1278"/>
      <c r="AH44" s="1278"/>
      <c r="AI44" s="1278"/>
      <c r="AJ44" s="1279"/>
      <c r="AK44" s="726" t="s">
        <v>400</v>
      </c>
      <c r="AM44" s="66"/>
      <c r="AN44" s="66" t="str">
        <f t="shared" si="1"/>
        <v xml:space="preserve">Наименование системы теплоснабжения </v>
      </c>
      <c r="AO44" s="66"/>
      <c r="AP44" s="66"/>
      <c r="AQ44" s="10">
        <v>23</v>
      </c>
    </row>
    <row r="45" spans="1:43" ht="21.95" customHeight="1">
      <c r="A45" s="728" t="s">
        <v>202</v>
      </c>
      <c r="B45" s="728" t="s">
        <v>203</v>
      </c>
      <c r="C45" s="728" t="s">
        <v>204</v>
      </c>
      <c r="D45" s="728" t="s">
        <v>205</v>
      </c>
      <c r="E45" s="1310"/>
      <c r="F45" s="1310"/>
      <c r="G45" s="1310"/>
      <c r="H45" s="1309">
        <v>1</v>
      </c>
      <c r="I45" s="728"/>
      <c r="J45" s="728"/>
      <c r="K45" s="728"/>
      <c r="L45" s="751"/>
      <c r="M45" s="339"/>
      <c r="N45" s="339"/>
      <c r="O45" s="339"/>
      <c r="P45" s="128"/>
      <c r="Q45" s="799"/>
      <c r="R45" s="202"/>
      <c r="S45" s="706" t="str">
        <f>INDEX(PT_DIFFERENTIATION_NUM_IST_TE,MATCH(D45,PT_DIFFERENTIATION_IST_TE_ID,0))</f>
        <v>...</v>
      </c>
      <c r="T45" s="176" t="s">
        <v>401</v>
      </c>
      <c r="U45" s="168"/>
      <c r="V45" s="1278"/>
      <c r="W45" s="1278"/>
      <c r="X45" s="1278"/>
      <c r="Y45" s="1278"/>
      <c r="Z45" s="1278"/>
      <c r="AA45" s="1279"/>
      <c r="AB45" s="1040"/>
      <c r="AC45" s="1278" t="str">
        <f>INDEX(PT_DIFFERENTIATION_IST_TE,MATCH(D45,PT_DIFFERENTIATION_IST_TE_ID,0))</f>
        <v/>
      </c>
      <c r="AD45" s="1278"/>
      <c r="AE45" s="1278"/>
      <c r="AF45" s="1278"/>
      <c r="AG45" s="1278"/>
      <c r="AH45" s="1278"/>
      <c r="AI45" s="1278"/>
      <c r="AJ45" s="1279"/>
      <c r="AK45" s="726" t="s">
        <v>402</v>
      </c>
      <c r="AM45" s="66"/>
      <c r="AN45" s="66" t="str">
        <f t="shared" si="1"/>
        <v xml:space="preserve">Источник тепловой энергии  </v>
      </c>
      <c r="AO45" s="66"/>
      <c r="AP45" s="66"/>
      <c r="AQ45" s="10">
        <v>21</v>
      </c>
    </row>
    <row r="46" spans="1:43" s="65" customFormat="1" ht="0" hidden="1" customHeight="1">
      <c r="A46" s="771" t="s">
        <v>202</v>
      </c>
      <c r="B46" s="771" t="s">
        <v>203</v>
      </c>
      <c r="C46" s="771" t="s">
        <v>204</v>
      </c>
      <c r="D46" s="771" t="s">
        <v>205</v>
      </c>
      <c r="E46" s="1310"/>
      <c r="F46" s="1310"/>
      <c r="G46" s="1310"/>
      <c r="H46" s="1310"/>
      <c r="I46" s="1146" t="str">
        <f>S45&amp;".1"</f>
        <v>....1</v>
      </c>
      <c r="J46" s="771"/>
      <c r="K46" s="771"/>
      <c r="L46" s="772" t="s">
        <v>403</v>
      </c>
      <c r="M46" s="719"/>
      <c r="N46" s="719"/>
      <c r="O46" s="719"/>
      <c r="P46" s="1287">
        <v>1</v>
      </c>
      <c r="Q46" s="119"/>
      <c r="R46" s="205"/>
      <c r="S46" s="359"/>
      <c r="T46" s="776"/>
      <c r="U46" s="777"/>
      <c r="V46" s="1315"/>
      <c r="W46" s="1315"/>
      <c r="X46" s="1315"/>
      <c r="Y46" s="1315"/>
      <c r="Z46" s="1315"/>
      <c r="AA46" s="1316"/>
      <c r="AB46" s="1042"/>
      <c r="AC46" s="1315"/>
      <c r="AD46" s="1315"/>
      <c r="AE46" s="1315"/>
      <c r="AF46" s="1315"/>
      <c r="AG46" s="1315"/>
      <c r="AH46" s="1315"/>
      <c r="AI46" s="1315"/>
      <c r="AJ46" s="1316"/>
      <c r="AK46" s="778"/>
      <c r="AM46" s="66"/>
      <c r="AN46" s="66" t="str">
        <f t="shared" si="1"/>
        <v/>
      </c>
      <c r="AO46" s="66"/>
      <c r="AP46" s="66"/>
      <c r="AQ46" s="65">
        <v>0</v>
      </c>
    </row>
    <row r="47" spans="1:43" s="65" customFormat="1" ht="0" hidden="1" customHeight="1">
      <c r="A47" s="771" t="s">
        <v>202</v>
      </c>
      <c r="B47" s="771" t="s">
        <v>203</v>
      </c>
      <c r="C47" s="771" t="s">
        <v>204</v>
      </c>
      <c r="D47" s="771" t="s">
        <v>205</v>
      </c>
      <c r="E47" s="1310"/>
      <c r="F47" s="1310"/>
      <c r="G47" s="1310"/>
      <c r="H47" s="1310"/>
      <c r="I47" s="1128"/>
      <c r="J47" s="1146" t="str">
        <f>S45&amp;".1"</f>
        <v>....1</v>
      </c>
      <c r="K47" s="771"/>
      <c r="L47" s="772"/>
      <c r="M47" s="719"/>
      <c r="N47" s="719"/>
      <c r="O47" s="719"/>
      <c r="P47" s="1287"/>
      <c r="Q47" s="1287">
        <v>1</v>
      </c>
      <c r="R47" s="206"/>
      <c r="S47" s="359"/>
      <c r="T47" s="791"/>
      <c r="U47" s="777"/>
      <c r="V47" s="1315"/>
      <c r="W47" s="1315"/>
      <c r="X47" s="1315"/>
      <c r="Y47" s="1315"/>
      <c r="Z47" s="1315"/>
      <c r="AA47" s="1316"/>
      <c r="AB47" s="1042"/>
      <c r="AC47" s="1315"/>
      <c r="AD47" s="1315"/>
      <c r="AE47" s="1315"/>
      <c r="AF47" s="1315"/>
      <c r="AG47" s="1315"/>
      <c r="AH47" s="1315"/>
      <c r="AI47" s="1315"/>
      <c r="AJ47" s="1316"/>
      <c r="AK47" s="778"/>
      <c r="AM47" s="66"/>
      <c r="AN47" s="66" t="str">
        <f t="shared" si="1"/>
        <v/>
      </c>
      <c r="AO47" s="66"/>
      <c r="AP47" s="66"/>
      <c r="AQ47" s="65">
        <v>0</v>
      </c>
    </row>
    <row r="48" spans="1:43" ht="21.95" customHeight="1">
      <c r="A48" s="728" t="s">
        <v>202</v>
      </c>
      <c r="B48" s="728" t="s">
        <v>203</v>
      </c>
      <c r="C48" s="728" t="s">
        <v>204</v>
      </c>
      <c r="D48" s="728" t="s">
        <v>205</v>
      </c>
      <c r="E48" s="1310"/>
      <c r="F48" s="1310"/>
      <c r="G48" s="1310"/>
      <c r="H48" s="1310"/>
      <c r="I48" s="1128"/>
      <c r="J48" s="1128"/>
      <c r="K48" s="40" t="str">
        <f>S45&amp;".1"</f>
        <v>....1</v>
      </c>
      <c r="L48" s="751"/>
      <c r="P48" s="1287"/>
      <c r="Q48" s="1287"/>
      <c r="R48" s="206">
        <v>1</v>
      </c>
      <c r="S48" s="1044" t="str">
        <f>$K48</f>
        <v>....1</v>
      </c>
      <c r="T48" s="1043"/>
      <c r="U48" s="168"/>
      <c r="V48" s="303"/>
      <c r="W48" s="725"/>
      <c r="X48" s="942"/>
      <c r="Y48" s="294" t="s">
        <v>64</v>
      </c>
      <c r="Z48" s="942"/>
      <c r="AA48" s="294" t="s">
        <v>64</v>
      </c>
      <c r="AB48" s="1046"/>
      <c r="AC48" s="1045" t="s">
        <v>28</v>
      </c>
      <c r="AD48" s="303"/>
      <c r="AE48" s="725"/>
      <c r="AF48" s="942"/>
      <c r="AG48" s="294" t="s">
        <v>64</v>
      </c>
      <c r="AH48" s="942"/>
      <c r="AI48" s="294" t="s">
        <v>64</v>
      </c>
      <c r="AJ48" s="763"/>
      <c r="AK48" s="1306" t="s">
        <v>477</v>
      </c>
      <c r="AL48" s="65" t="e">
        <f ca="1">STRCHECKDATE(#REF!)</f>
        <v>#NAME?</v>
      </c>
      <c r="AM48" s="66"/>
      <c r="AN48" s="66" t="str">
        <f t="shared" si="1"/>
        <v/>
      </c>
      <c r="AO48" s="66"/>
      <c r="AP48" s="66"/>
      <c r="AQ48" s="10">
        <v>21</v>
      </c>
    </row>
    <row r="49" spans="1:43" ht="11.45" customHeight="1">
      <c r="A49" s="728" t="s">
        <v>202</v>
      </c>
      <c r="B49" s="728" t="s">
        <v>203</v>
      </c>
      <c r="C49" s="728" t="s">
        <v>204</v>
      </c>
      <c r="D49" s="728" t="s">
        <v>205</v>
      </c>
      <c r="E49" s="1310"/>
      <c r="F49" s="1310"/>
      <c r="G49" s="1310"/>
      <c r="H49" s="1310"/>
      <c r="I49" s="1128"/>
      <c r="J49" s="1146"/>
      <c r="K49" s="728"/>
      <c r="L49" s="751"/>
      <c r="P49" s="1287"/>
      <c r="Q49" s="1287"/>
      <c r="R49" s="205"/>
      <c r="S49" s="739"/>
      <c r="T49" s="163" t="s">
        <v>465</v>
      </c>
      <c r="U49" s="210"/>
      <c r="V49" s="210"/>
      <c r="W49" s="210"/>
      <c r="X49" s="210"/>
      <c r="Y49" s="210"/>
      <c r="Z49" s="210"/>
      <c r="AA49" s="187"/>
      <c r="AB49" s="210"/>
      <c r="AC49" s="210"/>
      <c r="AD49" s="210"/>
      <c r="AE49" s="210"/>
      <c r="AF49" s="210"/>
      <c r="AG49" s="210"/>
      <c r="AH49" s="210"/>
      <c r="AI49" s="210"/>
      <c r="AJ49" s="187"/>
      <c r="AK49" s="1308"/>
      <c r="AM49" s="66"/>
      <c r="AN49" s="66" t="str">
        <f t="shared" si="1"/>
        <v>Добавить строку</v>
      </c>
      <c r="AO49" s="66"/>
      <c r="AP49" s="66"/>
      <c r="AQ49" s="10">
        <v>11</v>
      </c>
    </row>
    <row r="50" spans="1:43" s="65" customFormat="1" ht="1.1499999999999999" customHeight="1">
      <c r="A50" s="771" t="s">
        <v>202</v>
      </c>
      <c r="B50" s="771" t="s">
        <v>203</v>
      </c>
      <c r="C50" s="771" t="s">
        <v>204</v>
      </c>
      <c r="D50" s="771" t="s">
        <v>205</v>
      </c>
      <c r="E50" s="1310"/>
      <c r="F50" s="1310"/>
      <c r="G50" s="1310"/>
      <c r="H50" s="1310"/>
      <c r="I50" s="1146"/>
      <c r="J50" s="771"/>
      <c r="K50" s="771"/>
      <c r="L50" s="772"/>
      <c r="M50" s="719"/>
      <c r="N50" s="719"/>
      <c r="O50" s="719"/>
      <c r="P50" s="1287"/>
      <c r="Q50" s="119"/>
      <c r="R50" s="205"/>
      <c r="S50" s="779"/>
      <c r="T50" s="780" t="s">
        <v>412</v>
      </c>
      <c r="U50" s="781"/>
      <c r="V50" s="781"/>
      <c r="W50" s="781"/>
      <c r="X50" s="781"/>
      <c r="Y50" s="781"/>
      <c r="Z50" s="781"/>
      <c r="AA50" s="781"/>
      <c r="AB50" s="781"/>
      <c r="AC50" s="781"/>
      <c r="AD50" s="781"/>
      <c r="AE50" s="781"/>
      <c r="AF50" s="781"/>
      <c r="AG50" s="781"/>
      <c r="AH50" s="781"/>
      <c r="AI50" s="781"/>
      <c r="AJ50" s="781"/>
      <c r="AK50" s="782"/>
      <c r="AM50" s="66"/>
      <c r="AN50" s="66" t="str">
        <f t="shared" si="1"/>
        <v>Добавить группу потребителей</v>
      </c>
      <c r="AO50" s="66"/>
      <c r="AP50" s="66"/>
      <c r="AQ50" s="65">
        <v>1</v>
      </c>
    </row>
    <row r="51" spans="1:43" s="200" customFormat="1" ht="1.1499999999999999" customHeight="1">
      <c r="A51" s="771" t="s">
        <v>202</v>
      </c>
      <c r="B51" s="771" t="s">
        <v>203</v>
      </c>
      <c r="C51" s="771" t="s">
        <v>204</v>
      </c>
      <c r="D51" s="771" t="s">
        <v>205</v>
      </c>
      <c r="E51" s="1310"/>
      <c r="F51" s="1310"/>
      <c r="G51" s="1310"/>
      <c r="H51" s="1309"/>
      <c r="I51" s="771"/>
      <c r="J51" s="771"/>
      <c r="K51" s="771"/>
      <c r="L51" s="772"/>
      <c r="M51" s="773"/>
      <c r="N51" s="773"/>
      <c r="P51" s="101"/>
      <c r="Q51" s="752"/>
      <c r="R51" s="792"/>
      <c r="S51" s="779"/>
      <c r="T51" s="780"/>
      <c r="U51" s="781"/>
      <c r="V51" s="781"/>
      <c r="W51" s="781"/>
      <c r="X51" s="781"/>
      <c r="Y51" s="781"/>
      <c r="Z51" s="781"/>
      <c r="AA51" s="781"/>
      <c r="AB51" s="781"/>
      <c r="AC51" s="781"/>
      <c r="AD51" s="781"/>
      <c r="AE51" s="781"/>
      <c r="AF51" s="781"/>
      <c r="AG51" s="781"/>
      <c r="AH51" s="781"/>
      <c r="AI51" s="781"/>
      <c r="AJ51" s="781"/>
      <c r="AK51" s="782"/>
      <c r="AL51" s="65"/>
      <c r="AM51" s="66"/>
      <c r="AN51" s="66" t="str">
        <f t="shared" si="1"/>
        <v/>
      </c>
      <c r="AO51" s="66"/>
      <c r="AP51" s="66"/>
      <c r="AQ51" s="200">
        <v>1</v>
      </c>
    </row>
    <row r="52" spans="1:43" s="65" customFormat="1" ht="1.1499999999999999" customHeight="1">
      <c r="A52" s="771" t="s">
        <v>202</v>
      </c>
      <c r="B52" s="771" t="s">
        <v>203</v>
      </c>
      <c r="C52" s="771" t="s">
        <v>204</v>
      </c>
      <c r="D52" s="771"/>
      <c r="E52" s="1310"/>
      <c r="F52" s="1310"/>
      <c r="G52" s="1309"/>
      <c r="H52" s="771"/>
      <c r="I52" s="771"/>
      <c r="J52" s="771"/>
      <c r="K52" s="771"/>
      <c r="L52" s="772"/>
      <c r="M52" s="773"/>
      <c r="N52" s="773"/>
      <c r="O52" s="200"/>
      <c r="P52" s="101"/>
      <c r="Q52" s="752"/>
      <c r="R52" s="101"/>
      <c r="S52" s="757"/>
      <c r="T52" s="759" t="s">
        <v>414</v>
      </c>
      <c r="U52" s="310"/>
      <c r="V52" s="310"/>
      <c r="W52" s="310"/>
      <c r="X52" s="310"/>
      <c r="Y52" s="310"/>
      <c r="Z52" s="310"/>
      <c r="AA52" s="310"/>
      <c r="AB52" s="310"/>
      <c r="AC52" s="310"/>
      <c r="AD52" s="310"/>
      <c r="AE52" s="310"/>
      <c r="AF52" s="310"/>
      <c r="AG52" s="310"/>
      <c r="AH52" s="310"/>
      <c r="AI52" s="310"/>
      <c r="AJ52" s="310"/>
      <c r="AK52" s="310"/>
      <c r="AM52" s="66"/>
      <c r="AN52" s="66" t="str">
        <f t="shared" si="1"/>
        <v>Добавить источник для дифференциации</v>
      </c>
      <c r="AO52" s="66"/>
      <c r="AP52" s="66"/>
      <c r="AQ52" s="65">
        <v>1</v>
      </c>
    </row>
    <row r="53" spans="1:43" s="65" customFormat="1" ht="1.1499999999999999" customHeight="1">
      <c r="A53" s="771" t="s">
        <v>202</v>
      </c>
      <c r="B53" s="771" t="s">
        <v>203</v>
      </c>
      <c r="C53" s="771"/>
      <c r="D53" s="771"/>
      <c r="E53" s="1310"/>
      <c r="F53" s="1309"/>
      <c r="G53" s="771"/>
      <c r="H53" s="771"/>
      <c r="I53" s="771"/>
      <c r="J53" s="771"/>
      <c r="K53" s="771"/>
      <c r="L53" s="772"/>
      <c r="M53" s="774"/>
      <c r="N53" s="774"/>
      <c r="O53" s="200"/>
      <c r="P53" s="101"/>
      <c r="Q53" s="752"/>
      <c r="R53" s="101"/>
      <c r="S53" s="757"/>
      <c r="T53" s="759" t="s">
        <v>231</v>
      </c>
      <c r="U53" s="310"/>
      <c r="V53" s="310"/>
      <c r="W53" s="310"/>
      <c r="X53" s="310"/>
      <c r="Y53" s="310"/>
      <c r="Z53" s="310"/>
      <c r="AA53" s="310"/>
      <c r="AB53" s="310"/>
      <c r="AC53" s="310"/>
      <c r="AD53" s="310"/>
      <c r="AE53" s="310"/>
      <c r="AF53" s="310"/>
      <c r="AG53" s="310"/>
      <c r="AH53" s="310"/>
      <c r="AI53" s="310"/>
      <c r="AJ53" s="310"/>
      <c r="AK53" s="310"/>
      <c r="AM53" s="66"/>
      <c r="AN53" s="66" t="str">
        <f t="shared" si="1"/>
        <v>Добавить централизованную систему для дифференциации</v>
      </c>
      <c r="AO53" s="66"/>
      <c r="AP53" s="66"/>
      <c r="AQ53" s="65">
        <v>1</v>
      </c>
    </row>
    <row r="54" spans="1:43" s="65" customFormat="1" ht="1.1499999999999999" customHeight="1">
      <c r="A54" s="771" t="s">
        <v>202</v>
      </c>
      <c r="B54" s="771"/>
      <c r="C54" s="771"/>
      <c r="D54" s="771"/>
      <c r="E54" s="1310"/>
      <c r="F54" s="771"/>
      <c r="G54" s="771"/>
      <c r="H54" s="771"/>
      <c r="I54" s="771"/>
      <c r="J54" s="771"/>
      <c r="K54" s="771"/>
      <c r="L54" s="772"/>
      <c r="M54" s="774"/>
      <c r="N54" s="774"/>
      <c r="O54" s="200"/>
      <c r="P54" s="101"/>
      <c r="Q54" s="752"/>
      <c r="R54" s="101"/>
      <c r="S54" s="757"/>
      <c r="T54" s="759" t="s">
        <v>232</v>
      </c>
      <c r="U54" s="310"/>
      <c r="V54" s="310"/>
      <c r="W54" s="310"/>
      <c r="X54" s="310"/>
      <c r="Y54" s="310"/>
      <c r="Z54" s="310"/>
      <c r="AA54" s="310"/>
      <c r="AB54" s="310"/>
      <c r="AC54" s="310"/>
      <c r="AD54" s="310"/>
      <c r="AE54" s="310"/>
      <c r="AF54" s="310"/>
      <c r="AG54" s="310"/>
      <c r="AH54" s="310"/>
      <c r="AI54" s="310"/>
      <c r="AJ54" s="310"/>
      <c r="AK54" s="310"/>
      <c r="AM54" s="66"/>
      <c r="AN54" s="66" t="str">
        <f t="shared" si="1"/>
        <v>Добавить территорию для дифференциации</v>
      </c>
      <c r="AO54" s="66"/>
      <c r="AP54" s="66"/>
      <c r="AQ54" s="65">
        <v>1</v>
      </c>
    </row>
    <row r="55" spans="1:43" s="65" customFormat="1" ht="1.1499999999999999" customHeight="1">
      <c r="A55" s="771" t="s">
        <v>202</v>
      </c>
      <c r="B55" s="771"/>
      <c r="C55" s="771"/>
      <c r="D55" s="771"/>
      <c r="E55" s="1309"/>
      <c r="F55" s="771"/>
      <c r="G55" s="771"/>
      <c r="H55" s="771"/>
      <c r="I55" s="771"/>
      <c r="J55" s="771"/>
      <c r="K55" s="771"/>
      <c r="L55" s="772"/>
      <c r="M55" s="774"/>
      <c r="N55" s="774"/>
      <c r="O55" s="200"/>
      <c r="P55" s="101"/>
      <c r="Q55" s="752"/>
      <c r="R55" s="101"/>
      <c r="S55" s="757"/>
      <c r="T55" s="759" t="s">
        <v>232</v>
      </c>
      <c r="U55" s="310"/>
      <c r="V55" s="310"/>
      <c r="W55" s="310"/>
      <c r="X55" s="310"/>
      <c r="Y55" s="310"/>
      <c r="Z55" s="310"/>
      <c r="AA55" s="310"/>
      <c r="AB55" s="310"/>
      <c r="AC55" s="310"/>
      <c r="AD55" s="310"/>
      <c r="AE55" s="310"/>
      <c r="AF55" s="310"/>
      <c r="AG55" s="310"/>
      <c r="AH55" s="310"/>
      <c r="AI55" s="310"/>
      <c r="AJ55" s="310"/>
      <c r="AK55" s="310"/>
      <c r="AM55" s="66"/>
      <c r="AN55" s="66" t="str">
        <f t="shared" si="1"/>
        <v>Добавить территорию для дифференциации</v>
      </c>
      <c r="AO55" s="66"/>
      <c r="AP55" s="66"/>
      <c r="AQ55" s="65">
        <v>1</v>
      </c>
    </row>
    <row r="56" spans="1:43" s="65" customFormat="1" ht="1.1499999999999999" customHeight="1">
      <c r="A56" s="771"/>
      <c r="B56" s="771"/>
      <c r="C56" s="771"/>
      <c r="D56" s="771"/>
      <c r="E56" s="771"/>
      <c r="F56" s="771"/>
      <c r="G56" s="771"/>
      <c r="H56" s="771"/>
      <c r="I56" s="771"/>
      <c r="J56" s="771"/>
      <c r="K56" s="771"/>
      <c r="L56" s="772"/>
      <c r="M56" s="774"/>
      <c r="N56" s="774"/>
      <c r="O56" s="200"/>
      <c r="P56" s="101"/>
      <c r="Q56" s="752"/>
      <c r="R56" s="101"/>
      <c r="S56" s="757"/>
      <c r="T56" s="759" t="s">
        <v>233</v>
      </c>
      <c r="U56" s="310"/>
      <c r="V56" s="310"/>
      <c r="W56" s="310"/>
      <c r="X56" s="310"/>
      <c r="Y56" s="310"/>
      <c r="Z56" s="310"/>
      <c r="AA56" s="310"/>
      <c r="AB56" s="310"/>
      <c r="AC56" s="310"/>
      <c r="AD56" s="310"/>
      <c r="AE56" s="310"/>
      <c r="AF56" s="310"/>
      <c r="AG56" s="310"/>
      <c r="AH56" s="310"/>
      <c r="AI56" s="310"/>
      <c r="AJ56" s="310"/>
      <c r="AK56" s="310"/>
      <c r="AM56" s="66"/>
      <c r="AN56" s="66" t="str">
        <f t="shared" si="1"/>
        <v>Добавить наименование тарифа</v>
      </c>
      <c r="AO56" s="66"/>
      <c r="AP56" s="66"/>
      <c r="AQ56" s="65">
        <v>1</v>
      </c>
    </row>
    <row r="57" spans="1:43" ht="11.45" customHeight="1">
      <c r="M57" s="10"/>
      <c r="N57" s="10"/>
      <c r="O57" s="10"/>
      <c r="P57" s="60"/>
      <c r="Q57" s="60"/>
      <c r="R57" s="10"/>
      <c r="S57" s="10"/>
      <c r="AL57" s="10"/>
      <c r="AM57" s="10"/>
      <c r="AN57" s="10"/>
      <c r="AO57" s="10"/>
      <c r="AP57" s="10"/>
      <c r="AQ57" s="10">
        <v>11</v>
      </c>
    </row>
    <row r="58" spans="1:43" ht="19.899999999999999" customHeight="1">
      <c r="O58" s="10"/>
      <c r="S58" s="195"/>
      <c r="T58" s="1282"/>
      <c r="U58" s="1282"/>
      <c r="V58" s="1282"/>
      <c r="W58" s="1282"/>
      <c r="X58" s="1282"/>
      <c r="Y58" s="1282"/>
      <c r="Z58" s="1282"/>
      <c r="AA58" s="1282"/>
      <c r="AB58" s="1282"/>
      <c r="AC58" s="1282"/>
      <c r="AD58" s="1282"/>
      <c r="AE58" s="1282"/>
      <c r="AF58" s="1282"/>
      <c r="AG58" s="1282"/>
      <c r="AH58" s="1282"/>
      <c r="AI58" s="1282"/>
      <c r="AJ58" s="1282"/>
      <c r="AK58" s="1282"/>
      <c r="AQ58" s="10">
        <v>19</v>
      </c>
    </row>
    <row r="59" spans="1:43" ht="21" customHeight="1">
      <c r="O59" s="10"/>
      <c r="T59" s="1282"/>
      <c r="U59" s="1282"/>
      <c r="V59" s="1282"/>
      <c r="W59" s="1282"/>
      <c r="X59" s="1282"/>
      <c r="Y59" s="1282"/>
      <c r="Z59" s="1282"/>
      <c r="AA59" s="1282"/>
      <c r="AB59" s="1282"/>
      <c r="AC59" s="1282"/>
      <c r="AD59" s="1282"/>
      <c r="AE59" s="1282"/>
      <c r="AF59" s="1282"/>
      <c r="AG59" s="1282"/>
      <c r="AH59" s="1282"/>
      <c r="AI59" s="1282"/>
      <c r="AJ59" s="1282"/>
      <c r="AK59" s="1282"/>
      <c r="AQ59" s="10">
        <v>20</v>
      </c>
    </row>
    <row r="60" spans="1:43" ht="14.65" customHeight="1">
      <c r="O60" s="10"/>
      <c r="T60" s="370"/>
      <c r="U60" s="370"/>
      <c r="V60" s="370"/>
      <c r="W60" s="370"/>
      <c r="X60" s="370"/>
      <c r="Y60" s="370"/>
      <c r="Z60" s="370"/>
      <c r="AA60" s="370"/>
      <c r="AB60" s="370"/>
      <c r="AC60" s="370"/>
      <c r="AD60" s="370"/>
      <c r="AE60" s="370"/>
      <c r="AF60" s="370"/>
      <c r="AG60" s="370"/>
      <c r="AH60" s="370"/>
      <c r="AI60" s="370"/>
      <c r="AJ60" s="370"/>
      <c r="AK60" s="370"/>
      <c r="AQ60" s="10">
        <v>14</v>
      </c>
    </row>
    <row r="61" spans="1:43" ht="19.899999999999999" customHeight="1">
      <c r="O61" s="10"/>
      <c r="T61" s="1282"/>
      <c r="U61" s="1282"/>
      <c r="V61" s="1282"/>
      <c r="W61" s="1282"/>
      <c r="X61" s="1282"/>
      <c r="Y61" s="1282"/>
      <c r="Z61" s="1282"/>
      <c r="AA61" s="1282"/>
      <c r="AB61" s="1282"/>
      <c r="AC61" s="1282"/>
      <c r="AD61" s="1282"/>
      <c r="AE61" s="1282"/>
      <c r="AF61" s="1282"/>
      <c r="AG61" s="1282"/>
      <c r="AH61" s="1282"/>
      <c r="AI61" s="1282"/>
      <c r="AJ61" s="1282"/>
      <c r="AK61" s="1282"/>
      <c r="AQ61" s="10">
        <v>19</v>
      </c>
    </row>
    <row r="62" spans="1:43" ht="16.899999999999999" customHeight="1">
      <c r="O62" s="10"/>
      <c r="T62" s="1282"/>
      <c r="U62" s="1282"/>
      <c r="V62" s="1282"/>
      <c r="W62" s="1282"/>
      <c r="X62" s="1282"/>
      <c r="Y62" s="1282"/>
      <c r="Z62" s="1282"/>
      <c r="AA62" s="1282"/>
      <c r="AB62" s="1282"/>
      <c r="AC62" s="1282"/>
      <c r="AD62" s="1282"/>
      <c r="AE62" s="1282"/>
      <c r="AF62" s="1282"/>
      <c r="AG62" s="1282"/>
      <c r="AH62" s="1282"/>
      <c r="AI62" s="1282"/>
      <c r="AJ62" s="1282"/>
      <c r="AK62" s="1282"/>
      <c r="AQ62" s="10">
        <v>16</v>
      </c>
    </row>
    <row r="63" spans="1:43" ht="14.65" customHeight="1">
      <c r="O63" s="10"/>
      <c r="AQ63" s="10">
        <v>14</v>
      </c>
    </row>
    <row r="64" spans="1:43" ht="22.5" hidden="1" customHeight="1">
      <c r="A64" s="10" t="s">
        <v>80</v>
      </c>
      <c r="B64" s="10">
        <v>0</v>
      </c>
      <c r="C64" s="10">
        <v>0</v>
      </c>
      <c r="D64" s="10">
        <v>0</v>
      </c>
      <c r="E64" s="10">
        <v>0</v>
      </c>
      <c r="F64" s="10">
        <v>0</v>
      </c>
      <c r="G64" s="10">
        <v>0</v>
      </c>
      <c r="H64" s="10">
        <v>0</v>
      </c>
      <c r="I64" s="10">
        <v>0</v>
      </c>
      <c r="J64" s="10">
        <v>0</v>
      </c>
      <c r="K64" s="10">
        <v>0</v>
      </c>
      <c r="L64" s="56">
        <v>0</v>
      </c>
      <c r="M64" s="32">
        <v>0</v>
      </c>
      <c r="N64" s="32">
        <v>0</v>
      </c>
      <c r="O64" s="32">
        <v>0</v>
      </c>
      <c r="P64" s="503">
        <v>3</v>
      </c>
      <c r="Q64" s="769">
        <v>3</v>
      </c>
      <c r="R64" s="28">
        <v>3</v>
      </c>
      <c r="S64" s="339">
        <v>12</v>
      </c>
      <c r="T64" s="10">
        <v>31</v>
      </c>
      <c r="U64" s="10">
        <v>0</v>
      </c>
      <c r="V64" s="10">
        <v>0</v>
      </c>
      <c r="W64" s="10">
        <v>0</v>
      </c>
      <c r="X64" s="10">
        <v>0</v>
      </c>
      <c r="Y64" s="10">
        <v>0</v>
      </c>
      <c r="Z64" s="10">
        <v>0</v>
      </c>
      <c r="AA64" s="10">
        <v>0</v>
      </c>
      <c r="AB64" s="10">
        <v>27</v>
      </c>
      <c r="AC64" s="10">
        <v>24</v>
      </c>
      <c r="AD64" s="10">
        <v>21</v>
      </c>
      <c r="AE64" s="10">
        <v>21</v>
      </c>
      <c r="AF64" s="10">
        <v>11</v>
      </c>
      <c r="AG64" s="10">
        <v>3</v>
      </c>
      <c r="AH64" s="10">
        <v>11</v>
      </c>
      <c r="AI64" s="10">
        <v>8</v>
      </c>
      <c r="AJ64" s="10">
        <v>4</v>
      </c>
      <c r="AK64" s="10">
        <v>115</v>
      </c>
      <c r="AL64" s="65">
        <v>10</v>
      </c>
      <c r="AM64" s="65">
        <v>10</v>
      </c>
      <c r="AN64" s="65">
        <v>10</v>
      </c>
      <c r="AO64" s="65">
        <v>10</v>
      </c>
      <c r="AP64" s="65">
        <v>10</v>
      </c>
      <c r="AQ64" s="1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8" hidden="1" customWidth="1"/>
    <col min="13" max="14" width="12.28515625" style="503" hidden="1" customWidth="1"/>
    <col min="15" max="15" width="23.42578125" style="503" hidden="1" customWidth="1"/>
    <col min="16" max="16" width="3.7109375" style="503" hidden="1" customWidth="1"/>
    <col min="17" max="17" width="3.7109375" style="769" hidden="1" customWidth="1"/>
    <col min="18" max="18" width="3" style="28" customWidth="1"/>
    <col min="19" max="19" width="12" style="339"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5" customWidth="1"/>
    <col min="61" max="61" width="10.5703125" style="10" hidden="1"/>
  </cols>
  <sheetData>
    <row r="1" spans="1:61" ht="22.5" hidden="1" customHeight="1">
      <c r="BI1" s="10" t="s">
        <v>14</v>
      </c>
    </row>
    <row r="2" spans="1:61" ht="21" hidden="1" customHeight="1">
      <c r="A2" s="766"/>
      <c r="B2" s="766"/>
      <c r="C2" s="766"/>
      <c r="D2" s="766"/>
      <c r="E2" s="1283">
        <v>1</v>
      </c>
      <c r="F2" s="766"/>
      <c r="G2" s="766"/>
      <c r="H2" s="766"/>
      <c r="I2" s="766"/>
      <c r="J2" s="766"/>
      <c r="K2" s="766"/>
      <c r="L2" s="767"/>
      <c r="M2" s="423"/>
      <c r="N2" s="423"/>
      <c r="O2" s="423"/>
      <c r="Q2" s="59"/>
      <c r="R2" s="204"/>
      <c r="S2" s="706" t="e">
        <f>INDEX(PT_DIFFERENTIATION_NUM_NTAR,MATCH(A2,PT_DIFFERENTIATION_NTAR_ID,0))</f>
        <v>#N/A</v>
      </c>
      <c r="T2" s="64" t="s">
        <v>121</v>
      </c>
      <c r="U2" s="168"/>
      <c r="V2" s="1278"/>
      <c r="W2" s="1278"/>
      <c r="X2" s="1278"/>
      <c r="Y2" s="1278"/>
      <c r="Z2" s="1278"/>
      <c r="AA2" s="1278"/>
      <c r="AB2" s="1278"/>
      <c r="AC2" s="1279"/>
      <c r="AD2" s="1277" t="e">
        <f>INDEX(PT_DIFFERENTIATION_NTAR,MATCH(A2,PT_DIFFERENTIATION_NTAR_ID,0))</f>
        <v>#N/A</v>
      </c>
      <c r="AE2" s="1278"/>
      <c r="AF2" s="1278"/>
      <c r="AG2" s="1278"/>
      <c r="AH2" s="1278"/>
      <c r="AI2" s="1278"/>
      <c r="AJ2" s="1278"/>
      <c r="AK2" s="1278"/>
      <c r="AL2" s="1278"/>
      <c r="AM2" s="1278"/>
      <c r="AN2" s="1278"/>
      <c r="AO2" s="1278"/>
      <c r="AP2" s="1278"/>
      <c r="AQ2" s="1278"/>
      <c r="AR2" s="1278"/>
      <c r="AS2" s="1278"/>
      <c r="AT2" s="1278"/>
      <c r="AU2" s="1278"/>
      <c r="AV2" s="1278"/>
      <c r="AW2" s="1278"/>
      <c r="AX2" s="1278"/>
      <c r="AY2" s="1278"/>
      <c r="AZ2" s="1278"/>
      <c r="BA2" s="1278"/>
      <c r="BB2" s="1279"/>
      <c r="BC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c r="BI2" s="10">
        <v>0</v>
      </c>
    </row>
    <row r="3" spans="1:61" ht="21" hidden="1" customHeight="1">
      <c r="A3" s="766"/>
      <c r="B3" s="766"/>
      <c r="C3" s="766"/>
      <c r="D3" s="766"/>
      <c r="E3" s="1284"/>
      <c r="F3" s="1283">
        <v>1</v>
      </c>
      <c r="G3" s="766"/>
      <c r="H3" s="766"/>
      <c r="I3" s="766"/>
      <c r="J3" s="766"/>
      <c r="K3" s="766"/>
      <c r="L3" s="767"/>
      <c r="M3" s="423"/>
      <c r="N3" s="423"/>
      <c r="O3" s="423"/>
      <c r="P3" s="298"/>
      <c r="Q3" s="799"/>
      <c r="R3" s="202"/>
      <c r="S3" s="706" t="e">
        <f>INDEX(PT_DIFFERENTIATION_NUM_TER,MATCH(B3,PT_DIFFERENTIATION_TER_ID,0))</f>
        <v>#N/A</v>
      </c>
      <c r="T3" s="174" t="s">
        <v>397</v>
      </c>
      <c r="U3" s="168"/>
      <c r="V3" s="1278"/>
      <c r="W3" s="1278"/>
      <c r="X3" s="1278"/>
      <c r="Y3" s="1278"/>
      <c r="Z3" s="1278"/>
      <c r="AA3" s="1278"/>
      <c r="AB3" s="1278"/>
      <c r="AC3" s="1279"/>
      <c r="AD3" s="1277" t="e">
        <f>INDEX(PT_DIFFERENTIATION_TER,MATCH(B3,PT_DIFFERENTIATION_TER_ID,0))</f>
        <v>#N/A</v>
      </c>
      <c r="AE3" s="1278"/>
      <c r="AF3" s="1278"/>
      <c r="AG3" s="1278"/>
      <c r="AH3" s="1278"/>
      <c r="AI3" s="1278"/>
      <c r="AJ3" s="1278"/>
      <c r="AK3" s="1278"/>
      <c r="AL3" s="1278"/>
      <c r="AM3" s="1278"/>
      <c r="AN3" s="1278"/>
      <c r="AO3" s="1278"/>
      <c r="AP3" s="1278"/>
      <c r="AQ3" s="1278"/>
      <c r="AR3" s="1278"/>
      <c r="AS3" s="1278"/>
      <c r="AT3" s="1278"/>
      <c r="AU3" s="1278"/>
      <c r="AV3" s="1278"/>
      <c r="AW3" s="1278"/>
      <c r="AX3" s="1278"/>
      <c r="AY3" s="1278"/>
      <c r="AZ3" s="1278"/>
      <c r="BA3" s="1278"/>
      <c r="BB3" s="1279"/>
      <c r="BC3" s="726" t="s">
        <v>398</v>
      </c>
      <c r="BE3" s="66"/>
      <c r="BF3" s="66" t="str">
        <f t="shared" si="0"/>
        <v>Территория действия тарифа</v>
      </c>
      <c r="BG3" s="66"/>
      <c r="BH3" s="66"/>
      <c r="BI3" s="10">
        <v>0</v>
      </c>
    </row>
    <row r="4" spans="1:61" ht="42" hidden="1" customHeight="1">
      <c r="A4" s="766"/>
      <c r="B4" s="766"/>
      <c r="C4" s="766"/>
      <c r="D4" s="766"/>
      <c r="E4" s="1284"/>
      <c r="F4" s="1284"/>
      <c r="G4" s="1283">
        <v>1</v>
      </c>
      <c r="H4" s="766"/>
      <c r="I4" s="766"/>
      <c r="J4" s="766"/>
      <c r="K4" s="766"/>
      <c r="L4" s="767"/>
      <c r="M4" s="423"/>
      <c r="N4" s="423"/>
      <c r="O4" s="423"/>
      <c r="P4" s="128"/>
      <c r="Q4" s="799"/>
      <c r="R4" s="202"/>
      <c r="S4" s="706" t="e">
        <f>INDEX(PT_DIFFERENTIATION_NUM_CS,MATCH(C4,PT_DIFFERENTIATION_CS_ID,0))</f>
        <v>#N/A</v>
      </c>
      <c r="T4" s="175" t="s">
        <v>478</v>
      </c>
      <c r="U4" s="168"/>
      <c r="V4" s="1278"/>
      <c r="W4" s="1278"/>
      <c r="X4" s="1278"/>
      <c r="Y4" s="1278"/>
      <c r="Z4" s="1278"/>
      <c r="AA4" s="1278"/>
      <c r="AB4" s="1278"/>
      <c r="AC4" s="1279"/>
      <c r="AD4" s="1277" t="e">
        <f>INDEX(PT_DIFFERENTIATION_CS,MATCH(C4,PT_DIFFERENTIATION_CS_ID,0))</f>
        <v>#N/A</v>
      </c>
      <c r="AE4" s="1278"/>
      <c r="AF4" s="1278"/>
      <c r="AG4" s="1278"/>
      <c r="AH4" s="1278"/>
      <c r="AI4" s="1278"/>
      <c r="AJ4" s="1278"/>
      <c r="AK4" s="1278"/>
      <c r="AL4" s="1278"/>
      <c r="AM4" s="1278"/>
      <c r="AN4" s="1278"/>
      <c r="AO4" s="1278"/>
      <c r="AP4" s="1278"/>
      <c r="AQ4" s="1278"/>
      <c r="AR4" s="1278"/>
      <c r="AS4" s="1278"/>
      <c r="AT4" s="1278"/>
      <c r="AU4" s="1278"/>
      <c r="AV4" s="1278"/>
      <c r="AW4" s="1278"/>
      <c r="AX4" s="1278"/>
      <c r="AY4" s="1278"/>
      <c r="AZ4" s="1278"/>
      <c r="BA4" s="1278"/>
      <c r="BB4" s="1279"/>
      <c r="BC4" s="726" t="s">
        <v>479</v>
      </c>
      <c r="BE4" s="66"/>
      <c r="BF4" s="66" t="str">
        <f t="shared" si="0"/>
        <v>Наименование централизованной системы холодного водоснабжения</v>
      </c>
      <c r="BG4" s="66"/>
      <c r="BH4" s="66"/>
      <c r="BI4" s="10">
        <v>0</v>
      </c>
    </row>
    <row r="5" spans="1:61" s="65" customFormat="1" ht="14.25" hidden="1" customHeight="1">
      <c r="A5" s="142"/>
      <c r="B5" s="142"/>
      <c r="C5" s="142"/>
      <c r="D5" s="142"/>
      <c r="E5" s="1284"/>
      <c r="F5" s="1284"/>
      <c r="G5" s="1284"/>
      <c r="H5" s="1283">
        <v>1</v>
      </c>
      <c r="I5" s="142"/>
      <c r="J5" s="142"/>
      <c r="K5" s="142"/>
      <c r="L5" s="343"/>
      <c r="M5" s="290"/>
      <c r="N5" s="290"/>
      <c r="O5" s="290"/>
      <c r="P5" s="818"/>
      <c r="Q5" s="819"/>
      <c r="R5" s="206"/>
      <c r="S5" s="359"/>
      <c r="T5" s="820"/>
      <c r="U5" s="777"/>
      <c r="V5" s="1315"/>
      <c r="W5" s="1315"/>
      <c r="X5" s="1315"/>
      <c r="Y5" s="1315"/>
      <c r="Z5" s="1315"/>
      <c r="AA5" s="1315"/>
      <c r="AB5" s="1315"/>
      <c r="AC5" s="1316"/>
      <c r="AD5" s="1314"/>
      <c r="AE5" s="1315"/>
      <c r="AF5" s="1315"/>
      <c r="AG5" s="1315"/>
      <c r="AH5" s="1315"/>
      <c r="AI5" s="1315"/>
      <c r="AJ5" s="1315"/>
      <c r="AK5" s="1315"/>
      <c r="AL5" s="1315"/>
      <c r="AM5" s="1315"/>
      <c r="AN5" s="1315"/>
      <c r="AO5" s="1315"/>
      <c r="AP5" s="1315"/>
      <c r="AQ5" s="1315"/>
      <c r="AR5" s="1315"/>
      <c r="AS5" s="1315"/>
      <c r="AT5" s="1315"/>
      <c r="AU5" s="1315"/>
      <c r="AV5" s="1315"/>
      <c r="AW5" s="1315"/>
      <c r="AX5" s="1315"/>
      <c r="AY5" s="1315"/>
      <c r="AZ5" s="1315"/>
      <c r="BA5" s="1315"/>
      <c r="BB5" s="1316"/>
      <c r="BC5" s="778" t="s">
        <v>402</v>
      </c>
      <c r="BE5" s="66"/>
      <c r="BF5" s="66" t="str">
        <f t="shared" si="0"/>
        <v/>
      </c>
      <c r="BG5" s="66"/>
      <c r="BH5" s="66"/>
      <c r="BI5" s="65">
        <v>0</v>
      </c>
    </row>
    <row r="6" spans="1:61" s="65" customFormat="1" ht="14.25" hidden="1" customHeight="1">
      <c r="A6" s="142"/>
      <c r="B6" s="142"/>
      <c r="C6" s="142"/>
      <c r="D6" s="142"/>
      <c r="E6" s="1284"/>
      <c r="F6" s="1284"/>
      <c r="G6" s="1284"/>
      <c r="H6" s="1284"/>
      <c r="I6" s="1285" t="str">
        <f>S5&amp;".1"</f>
        <v>.1</v>
      </c>
      <c r="J6" s="142"/>
      <c r="K6" s="142"/>
      <c r="L6" s="343" t="s">
        <v>403</v>
      </c>
      <c r="M6" s="287"/>
      <c r="N6" s="287"/>
      <c r="O6" s="287"/>
      <c r="P6" s="1287">
        <v>1</v>
      </c>
      <c r="Q6" s="119"/>
      <c r="R6" s="205"/>
      <c r="S6" s="359"/>
      <c r="T6" s="776"/>
      <c r="U6" s="777"/>
      <c r="V6" s="1315"/>
      <c r="W6" s="1315"/>
      <c r="X6" s="1315"/>
      <c r="Y6" s="1315"/>
      <c r="Z6" s="1315"/>
      <c r="AA6" s="1315"/>
      <c r="AB6" s="1315"/>
      <c r="AC6" s="1316"/>
      <c r="AD6" s="1314"/>
      <c r="AE6" s="1315"/>
      <c r="AF6" s="1315"/>
      <c r="AG6" s="1315"/>
      <c r="AH6" s="1315"/>
      <c r="AI6" s="1315"/>
      <c r="AJ6" s="1315"/>
      <c r="AK6" s="1315"/>
      <c r="AL6" s="1315"/>
      <c r="AM6" s="1315"/>
      <c r="AN6" s="1315"/>
      <c r="AO6" s="1315"/>
      <c r="AP6" s="1315"/>
      <c r="AQ6" s="1315"/>
      <c r="AR6" s="1315"/>
      <c r="AS6" s="1315"/>
      <c r="AT6" s="1315"/>
      <c r="AU6" s="1315"/>
      <c r="AV6" s="1315"/>
      <c r="AW6" s="1315"/>
      <c r="AX6" s="1315"/>
      <c r="AY6" s="1315"/>
      <c r="AZ6" s="1315"/>
      <c r="BA6" s="1315"/>
      <c r="BB6" s="1316"/>
      <c r="BC6" s="778"/>
      <c r="BE6" s="66"/>
      <c r="BF6" s="66" t="str">
        <f t="shared" si="0"/>
        <v/>
      </c>
      <c r="BG6" s="66"/>
      <c r="BH6" s="66"/>
      <c r="BI6" s="65">
        <v>0</v>
      </c>
    </row>
    <row r="7" spans="1:61" s="65" customFormat="1" ht="14.25" hidden="1" customHeight="1">
      <c r="A7" s="142"/>
      <c r="B7" s="142"/>
      <c r="C7" s="142"/>
      <c r="D7" s="142"/>
      <c r="E7" s="1284"/>
      <c r="F7" s="1284"/>
      <c r="G7" s="1284"/>
      <c r="H7" s="1284"/>
      <c r="I7" s="1286"/>
      <c r="J7" s="1285" t="str">
        <f>S5&amp;".1"</f>
        <v>.1</v>
      </c>
      <c r="K7" s="142"/>
      <c r="L7" s="343"/>
      <c r="M7" s="287"/>
      <c r="N7" s="287"/>
      <c r="O7" s="287"/>
      <c r="P7" s="1287"/>
      <c r="Q7" s="1287">
        <v>1</v>
      </c>
      <c r="R7" s="206"/>
      <c r="S7" s="359"/>
      <c r="T7" s="791"/>
      <c r="U7" s="777"/>
      <c r="V7" s="1315"/>
      <c r="W7" s="1315"/>
      <c r="X7" s="1315"/>
      <c r="Y7" s="1315"/>
      <c r="Z7" s="1315"/>
      <c r="AA7" s="1315"/>
      <c r="AB7" s="1315"/>
      <c r="AC7" s="1316"/>
      <c r="AD7" s="1314"/>
      <c r="AE7" s="1315"/>
      <c r="AF7" s="1315"/>
      <c r="AG7" s="1315"/>
      <c r="AH7" s="1315"/>
      <c r="AI7" s="1315"/>
      <c r="AJ7" s="1315"/>
      <c r="AK7" s="1315"/>
      <c r="AL7" s="1315"/>
      <c r="AM7" s="1315"/>
      <c r="AN7" s="1315"/>
      <c r="AO7" s="1315"/>
      <c r="AP7" s="1315"/>
      <c r="AQ7" s="1315"/>
      <c r="AR7" s="1315"/>
      <c r="AS7" s="1315"/>
      <c r="AT7" s="1315"/>
      <c r="AU7" s="1315"/>
      <c r="AV7" s="1315"/>
      <c r="AW7" s="1315"/>
      <c r="AX7" s="1315"/>
      <c r="AY7" s="1315"/>
      <c r="AZ7" s="1315"/>
      <c r="BA7" s="1315"/>
      <c r="BB7" s="1316"/>
      <c r="BC7" s="778"/>
      <c r="BE7" s="66"/>
      <c r="BF7" s="66" t="str">
        <f t="shared" si="0"/>
        <v/>
      </c>
      <c r="BG7" s="66"/>
      <c r="BH7" s="66"/>
      <c r="BI7" s="65">
        <v>0</v>
      </c>
    </row>
    <row r="8" spans="1:61" ht="11.25" hidden="1" customHeight="1">
      <c r="A8" s="766"/>
      <c r="B8" s="766"/>
      <c r="C8" s="766"/>
      <c r="D8" s="766"/>
      <c r="E8" s="1284"/>
      <c r="F8" s="1284"/>
      <c r="G8" s="1284"/>
      <c r="H8" s="1284"/>
      <c r="I8" s="1286"/>
      <c r="J8" s="1286"/>
      <c r="K8" s="1285" t="e">
        <f>S4&amp;".1"</f>
        <v>#N/A</v>
      </c>
      <c r="L8" s="767"/>
      <c r="P8" s="1287"/>
      <c r="Q8" s="1287"/>
      <c r="R8" s="1343">
        <v>1</v>
      </c>
      <c r="S8" s="1340" t="e">
        <f>$K8</f>
        <v>#N/A</v>
      </c>
      <c r="T8" s="1360"/>
      <c r="U8" s="168"/>
      <c r="V8" s="303"/>
      <c r="W8" s="725"/>
      <c r="X8" s="303"/>
      <c r="Y8" s="725"/>
      <c r="Z8" s="942"/>
      <c r="AA8" s="294" t="s">
        <v>64</v>
      </c>
      <c r="AB8" s="942"/>
      <c r="AC8" s="294" t="s">
        <v>64</v>
      </c>
      <c r="AD8" s="1212" t="s">
        <v>64</v>
      </c>
      <c r="AE8" s="1336"/>
      <c r="AF8" s="1240">
        <v>1</v>
      </c>
      <c r="AG8" s="1359"/>
      <c r="AH8" s="1156" t="s">
        <v>64</v>
      </c>
      <c r="AI8" s="1336"/>
      <c r="AJ8" s="1240">
        <v>1</v>
      </c>
      <c r="AK8" s="1350" t="s">
        <v>28</v>
      </c>
      <c r="AL8" s="1156" t="s">
        <v>64</v>
      </c>
      <c r="AM8" s="1217"/>
      <c r="AN8" s="1240">
        <v>1</v>
      </c>
      <c r="AO8" s="1363"/>
      <c r="AP8" s="1364" t="s">
        <v>64</v>
      </c>
      <c r="AQ8" s="177"/>
      <c r="AR8" s="265">
        <v>1</v>
      </c>
      <c r="AS8" s="116" t="s">
        <v>28</v>
      </c>
      <c r="AT8" s="303"/>
      <c r="AU8" s="725"/>
      <c r="AV8" s="303"/>
      <c r="AW8" s="725"/>
      <c r="AX8" s="942"/>
      <c r="AY8" s="294" t="s">
        <v>64</v>
      </c>
      <c r="AZ8" s="942"/>
      <c r="BA8" s="294" t="s">
        <v>64</v>
      </c>
      <c r="BB8" s="763"/>
      <c r="BC8" s="1306" t="s">
        <v>500</v>
      </c>
      <c r="BE8" s="66"/>
      <c r="BF8" s="66" t="str">
        <f t="shared" si="0"/>
        <v/>
      </c>
      <c r="BG8" s="66"/>
      <c r="BH8" s="66"/>
      <c r="BI8" s="10">
        <v>0</v>
      </c>
    </row>
    <row r="9" spans="1:61" ht="11.25" hidden="1" customHeight="1">
      <c r="A9" s="766"/>
      <c r="B9" s="766"/>
      <c r="C9" s="766"/>
      <c r="D9" s="766"/>
      <c r="E9" s="1284"/>
      <c r="F9" s="1284"/>
      <c r="G9" s="1284"/>
      <c r="H9" s="1284"/>
      <c r="I9" s="1286"/>
      <c r="J9" s="1286"/>
      <c r="K9" s="1285"/>
      <c r="L9" s="767"/>
      <c r="P9" s="1287"/>
      <c r="Q9" s="1287"/>
      <c r="R9" s="1343"/>
      <c r="S9" s="1341"/>
      <c r="T9" s="1361"/>
      <c r="U9" s="168"/>
      <c r="V9" s="786"/>
      <c r="W9" s="817"/>
      <c r="X9" s="786"/>
      <c r="Y9" s="817"/>
      <c r="Z9" s="786"/>
      <c r="AA9" s="786"/>
      <c r="AB9" s="786"/>
      <c r="AC9" s="786"/>
      <c r="AD9" s="1213"/>
      <c r="AE9" s="1336"/>
      <c r="AF9" s="1240"/>
      <c r="AG9" s="1359"/>
      <c r="AH9" s="1156"/>
      <c r="AI9" s="1336"/>
      <c r="AJ9" s="1240"/>
      <c r="AK9" s="1350"/>
      <c r="AL9" s="1156"/>
      <c r="AM9" s="1222"/>
      <c r="AN9" s="1240"/>
      <c r="AO9" s="1363"/>
      <c r="AP9" s="1365"/>
      <c r="AQ9" s="181"/>
      <c r="AR9" s="51"/>
      <c r="AS9" s="51" t="s">
        <v>501</v>
      </c>
      <c r="AT9" s="786"/>
      <c r="AU9" s="817"/>
      <c r="AV9" s="786"/>
      <c r="AW9" s="817"/>
      <c r="AX9" s="786"/>
      <c r="AY9" s="786"/>
      <c r="AZ9" s="786"/>
      <c r="BA9" s="786"/>
      <c r="BB9" s="790"/>
      <c r="BC9" s="1307"/>
      <c r="BE9" s="66"/>
      <c r="BF9" s="66"/>
      <c r="BG9" s="66"/>
      <c r="BH9" s="66"/>
      <c r="BI9" s="10">
        <v>0</v>
      </c>
    </row>
    <row r="10" spans="1:61" ht="11.25" hidden="1" customHeight="1">
      <c r="A10" s="766"/>
      <c r="B10" s="766"/>
      <c r="C10" s="766"/>
      <c r="D10" s="766"/>
      <c r="E10" s="1284"/>
      <c r="F10" s="1284"/>
      <c r="G10" s="1284"/>
      <c r="H10" s="1284"/>
      <c r="I10" s="1286"/>
      <c r="J10" s="1286"/>
      <c r="K10" s="1285"/>
      <c r="L10" s="767"/>
      <c r="P10" s="1287"/>
      <c r="Q10" s="1287"/>
      <c r="R10" s="1343"/>
      <c r="S10" s="1341"/>
      <c r="T10" s="1361"/>
      <c r="U10" s="168"/>
      <c r="V10" s="786"/>
      <c r="W10" s="817"/>
      <c r="X10" s="786"/>
      <c r="Y10" s="817"/>
      <c r="Z10" s="786"/>
      <c r="AA10" s="786"/>
      <c r="AB10" s="786"/>
      <c r="AC10" s="786"/>
      <c r="AD10" s="1213"/>
      <c r="AE10" s="1336"/>
      <c r="AF10" s="1240"/>
      <c r="AG10" s="1359"/>
      <c r="AH10" s="1156"/>
      <c r="AI10" s="1336"/>
      <c r="AJ10" s="1240"/>
      <c r="AK10" s="1350"/>
      <c r="AL10" s="1156"/>
      <c r="AM10" s="181"/>
      <c r="AN10" s="821"/>
      <c r="AO10" s="821" t="s">
        <v>502</v>
      </c>
      <c r="AP10" s="51"/>
      <c r="AQ10" s="51"/>
      <c r="AR10" s="51"/>
      <c r="AS10" s="786"/>
      <c r="AT10" s="786"/>
      <c r="AU10" s="817"/>
      <c r="AV10" s="786"/>
      <c r="AW10" s="817"/>
      <c r="AX10" s="786"/>
      <c r="AY10" s="786"/>
      <c r="AZ10" s="786"/>
      <c r="BA10" s="786"/>
      <c r="BB10" s="790"/>
      <c r="BC10" s="1307"/>
      <c r="BE10" s="66"/>
      <c r="BF10" s="66"/>
      <c r="BG10" s="66"/>
      <c r="BH10" s="66"/>
      <c r="BI10" s="10">
        <v>0</v>
      </c>
    </row>
    <row r="11" spans="1:61" ht="11.25" hidden="1" customHeight="1">
      <c r="A11" s="766"/>
      <c r="B11" s="766"/>
      <c r="C11" s="766"/>
      <c r="D11" s="766"/>
      <c r="E11" s="1284"/>
      <c r="F11" s="1284"/>
      <c r="G11" s="1284"/>
      <c r="H11" s="1284"/>
      <c r="I11" s="1286"/>
      <c r="J11" s="1286"/>
      <c r="K11" s="1285"/>
      <c r="L11" s="767"/>
      <c r="P11" s="1287"/>
      <c r="Q11" s="1287"/>
      <c r="R11" s="1343"/>
      <c r="S11" s="1341"/>
      <c r="T11" s="1361"/>
      <c r="U11" s="168"/>
      <c r="V11" s="786"/>
      <c r="W11" s="817"/>
      <c r="X11" s="786"/>
      <c r="Y11" s="817"/>
      <c r="Z11" s="786"/>
      <c r="AA11" s="786"/>
      <c r="AB11" s="786"/>
      <c r="AC11" s="786"/>
      <c r="AD11" s="1213"/>
      <c r="AE11" s="1336"/>
      <c r="AF11" s="1240"/>
      <c r="AG11" s="1359"/>
      <c r="AH11" s="1156"/>
      <c r="AI11" s="166"/>
      <c r="AJ11" s="107"/>
      <c r="AK11" s="179" t="s">
        <v>503</v>
      </c>
      <c r="AL11" s="786"/>
      <c r="AM11" s="786"/>
      <c r="AN11" s="786"/>
      <c r="AO11" s="786"/>
      <c r="AP11" s="786"/>
      <c r="AQ11" s="786"/>
      <c r="AR11" s="786"/>
      <c r="AS11" s="786"/>
      <c r="AT11" s="786"/>
      <c r="AU11" s="817"/>
      <c r="AV11" s="786"/>
      <c r="AW11" s="817"/>
      <c r="AX11" s="786"/>
      <c r="AY11" s="786"/>
      <c r="AZ11" s="786"/>
      <c r="BA11" s="786"/>
      <c r="BB11" s="790"/>
      <c r="BC11" s="1307"/>
      <c r="BE11" s="66"/>
      <c r="BF11" s="66"/>
      <c r="BG11" s="66"/>
      <c r="BH11" s="66"/>
      <c r="BI11" s="10">
        <v>0</v>
      </c>
    </row>
    <row r="12" spans="1:61" ht="11.25" hidden="1" customHeight="1">
      <c r="A12" s="766"/>
      <c r="B12" s="766"/>
      <c r="C12" s="766"/>
      <c r="D12" s="766"/>
      <c r="E12" s="1284"/>
      <c r="F12" s="1284"/>
      <c r="G12" s="1284"/>
      <c r="H12" s="1284"/>
      <c r="I12" s="1286"/>
      <c r="J12" s="1286"/>
      <c r="K12" s="1285"/>
      <c r="L12" s="767"/>
      <c r="P12" s="1287"/>
      <c r="Q12" s="1287"/>
      <c r="R12" s="1343"/>
      <c r="S12" s="1342"/>
      <c r="T12" s="1362"/>
      <c r="U12" s="168"/>
      <c r="V12" s="786"/>
      <c r="W12" s="787" t="str">
        <f>Z8&amp;"-"&amp;AB8</f>
        <v>-</v>
      </c>
      <c r="X12" s="786"/>
      <c r="Y12" s="787" t="str">
        <f>AB8&amp;"-"&amp;AD8</f>
        <v>-да</v>
      </c>
      <c r="Z12" s="786"/>
      <c r="AA12" s="786"/>
      <c r="AB12" s="786"/>
      <c r="AC12" s="786"/>
      <c r="AD12" s="1161"/>
      <c r="AE12" s="178"/>
      <c r="AF12" s="180"/>
      <c r="AG12" s="51" t="s">
        <v>504</v>
      </c>
      <c r="AH12" s="786"/>
      <c r="AI12" s="786"/>
      <c r="AJ12" s="786"/>
      <c r="AK12" s="786"/>
      <c r="AL12" s="786"/>
      <c r="AM12" s="786"/>
      <c r="AN12" s="786"/>
      <c r="AO12" s="786"/>
      <c r="AP12" s="786"/>
      <c r="AQ12" s="786"/>
      <c r="AR12" s="786"/>
      <c r="AS12" s="786"/>
      <c r="AT12" s="786"/>
      <c r="AU12" s="787" t="str">
        <f>AX8&amp;"-"&amp;AZ8</f>
        <v>-</v>
      </c>
      <c r="AV12" s="786"/>
      <c r="AW12" s="787" t="str">
        <f>AZ8&amp;"-"&amp;BB8</f>
        <v>-</v>
      </c>
      <c r="AX12" s="786"/>
      <c r="AY12" s="786"/>
      <c r="AZ12" s="786"/>
      <c r="BA12" s="786"/>
      <c r="BB12" s="789" t="str">
        <f>BE8&amp;"-"&amp;BG8</f>
        <v>-</v>
      </c>
      <c r="BC12" s="1307"/>
      <c r="BE12" s="66"/>
      <c r="BF12" s="66" t="str">
        <f t="shared" ref="BF12:BF18" si="1">IF(T12="","",T12)</f>
        <v/>
      </c>
      <c r="BG12" s="66"/>
      <c r="BH12" s="66"/>
      <c r="BI12" s="10">
        <v>0</v>
      </c>
    </row>
    <row r="13" spans="1:61" ht="11.25" hidden="1" customHeight="1">
      <c r="A13" s="766"/>
      <c r="B13" s="766"/>
      <c r="C13" s="766"/>
      <c r="D13" s="766"/>
      <c r="E13" s="1284"/>
      <c r="F13" s="1284"/>
      <c r="G13" s="1284"/>
      <c r="H13" s="1284"/>
      <c r="I13" s="1286"/>
      <c r="J13" s="1285"/>
      <c r="K13" s="766"/>
      <c r="L13" s="767"/>
      <c r="P13" s="1287"/>
      <c r="Q13" s="1287"/>
      <c r="R13" s="205"/>
      <c r="S13" s="739"/>
      <c r="T13" s="163" t="s">
        <v>465</v>
      </c>
      <c r="U13" s="210"/>
      <c r="V13" s="210"/>
      <c r="W13" s="210"/>
      <c r="X13" s="210"/>
      <c r="Y13" s="210"/>
      <c r="Z13" s="210"/>
      <c r="AA13" s="210"/>
      <c r="AB13" s="210"/>
      <c r="AC13" s="210"/>
      <c r="AD13" s="825"/>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187"/>
      <c r="BC13" s="1308"/>
      <c r="BE13" s="66"/>
      <c r="BF13" s="66" t="str">
        <f t="shared" si="1"/>
        <v>Добавить строку</v>
      </c>
      <c r="BG13" s="66"/>
      <c r="BH13" s="66"/>
      <c r="BI13" s="10">
        <v>0</v>
      </c>
    </row>
    <row r="14" spans="1:61" s="65" customFormat="1" ht="14.25" hidden="1" customHeight="1">
      <c r="A14" s="142"/>
      <c r="B14" s="142"/>
      <c r="C14" s="142"/>
      <c r="D14" s="142"/>
      <c r="E14" s="1284"/>
      <c r="F14" s="1284"/>
      <c r="G14" s="1284"/>
      <c r="H14" s="1284"/>
      <c r="I14" s="1285"/>
      <c r="J14" s="142"/>
      <c r="K14" s="142"/>
      <c r="L14" s="343"/>
      <c r="M14" s="287"/>
      <c r="N14" s="287"/>
      <c r="O14" s="287"/>
      <c r="P14" s="1287"/>
      <c r="Q14" s="119"/>
      <c r="R14" s="205"/>
      <c r="S14" s="779"/>
      <c r="T14" s="780"/>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c r="AT14" s="781"/>
      <c r="AU14" s="781"/>
      <c r="AV14" s="781"/>
      <c r="AW14" s="781"/>
      <c r="AX14" s="781"/>
      <c r="AY14" s="781"/>
      <c r="AZ14" s="781"/>
      <c r="BA14" s="781"/>
      <c r="BB14" s="781"/>
      <c r="BC14" s="782"/>
      <c r="BE14" s="66"/>
      <c r="BF14" s="66" t="str">
        <f t="shared" si="1"/>
        <v/>
      </c>
      <c r="BG14" s="66"/>
      <c r="BH14" s="66"/>
      <c r="BI14" s="65">
        <v>0</v>
      </c>
    </row>
    <row r="15" spans="1:61" s="65" customFormat="1" ht="14.25" hidden="1" customHeight="1">
      <c r="A15" s="142"/>
      <c r="B15" s="142"/>
      <c r="C15" s="142"/>
      <c r="D15" s="142"/>
      <c r="E15" s="1284"/>
      <c r="F15" s="1284"/>
      <c r="G15" s="1284"/>
      <c r="H15" s="1283"/>
      <c r="I15" s="142"/>
      <c r="J15" s="142"/>
      <c r="K15" s="142"/>
      <c r="L15" s="343"/>
      <c r="M15" s="290"/>
      <c r="N15" s="290"/>
      <c r="P15" s="101"/>
      <c r="Q15" s="752"/>
      <c r="R15" s="793"/>
      <c r="S15" s="779"/>
      <c r="T15" s="780"/>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c r="AT15" s="781"/>
      <c r="AU15" s="781"/>
      <c r="AV15" s="781"/>
      <c r="AW15" s="781"/>
      <c r="AX15" s="781"/>
      <c r="AY15" s="781"/>
      <c r="AZ15" s="781"/>
      <c r="BA15" s="781"/>
      <c r="BB15" s="781"/>
      <c r="BC15" s="782"/>
      <c r="BE15" s="66"/>
      <c r="BF15" s="66" t="str">
        <f t="shared" si="1"/>
        <v/>
      </c>
      <c r="BG15" s="66"/>
      <c r="BH15" s="66"/>
      <c r="BI15" s="65">
        <v>0</v>
      </c>
    </row>
    <row r="16" spans="1:61" s="65" customFormat="1" ht="14.25" hidden="1" customHeight="1">
      <c r="A16" s="142"/>
      <c r="B16" s="142"/>
      <c r="C16" s="142"/>
      <c r="D16" s="142"/>
      <c r="E16" s="1284"/>
      <c r="F16" s="1284"/>
      <c r="G16" s="1283"/>
      <c r="H16" s="142"/>
      <c r="I16" s="142"/>
      <c r="J16" s="142"/>
      <c r="K16" s="142"/>
      <c r="L16" s="343"/>
      <c r="M16" s="290"/>
      <c r="N16" s="290"/>
      <c r="P16" s="101"/>
      <c r="Q16" s="752"/>
      <c r="R16" s="101"/>
      <c r="S16" s="757"/>
      <c r="T16" s="759"/>
      <c r="U16" s="310"/>
      <c r="V16" s="310"/>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E16" s="66"/>
      <c r="BF16" s="66" t="str">
        <f t="shared" si="1"/>
        <v/>
      </c>
      <c r="BG16" s="66"/>
      <c r="BH16" s="66"/>
      <c r="BI16" s="65">
        <v>0</v>
      </c>
    </row>
    <row r="17" spans="1:61" s="65" customFormat="1" ht="14.25" hidden="1" customHeight="1">
      <c r="A17" s="142"/>
      <c r="B17" s="142"/>
      <c r="C17" s="142"/>
      <c r="D17" s="142"/>
      <c r="E17" s="1284"/>
      <c r="F17" s="1283"/>
      <c r="G17" s="142"/>
      <c r="H17" s="142"/>
      <c r="I17" s="142"/>
      <c r="J17" s="142"/>
      <c r="K17" s="142"/>
      <c r="L17" s="343"/>
      <c r="M17" s="756"/>
      <c r="N17" s="756"/>
      <c r="P17" s="101"/>
      <c r="Q17" s="752"/>
      <c r="R17" s="101"/>
      <c r="S17" s="757"/>
      <c r="T17" s="759" t="s">
        <v>231</v>
      </c>
      <c r="U17" s="310"/>
      <c r="V17" s="310"/>
      <c r="W17" s="310"/>
      <c r="X17" s="310"/>
      <c r="Y17" s="310"/>
      <c r="Z17" s="310"/>
      <c r="AA17" s="310"/>
      <c r="AB17" s="310"/>
      <c r="AC17" s="310"/>
      <c r="AD17" s="310"/>
      <c r="AE17" s="310"/>
      <c r="AF17" s="310"/>
      <c r="AG17" s="310"/>
      <c r="AH17" s="310"/>
      <c r="AI17" s="310"/>
      <c r="AJ17" s="310"/>
      <c r="AK17" s="310"/>
      <c r="AL17" s="310"/>
      <c r="AM17" s="310"/>
      <c r="AN17" s="310"/>
      <c r="AO17" s="310"/>
      <c r="AP17" s="310"/>
      <c r="AQ17" s="310"/>
      <c r="AR17" s="310"/>
      <c r="AS17" s="310"/>
      <c r="AT17" s="310"/>
      <c r="AU17" s="310"/>
      <c r="AV17" s="310"/>
      <c r="AW17" s="310"/>
      <c r="AX17" s="310"/>
      <c r="AY17" s="310"/>
      <c r="AZ17" s="310"/>
      <c r="BA17" s="310"/>
      <c r="BB17" s="310"/>
      <c r="BC17" s="310"/>
      <c r="BE17" s="66"/>
      <c r="BF17" s="66" t="str">
        <f t="shared" si="1"/>
        <v>Добавить централизованную систему для дифференциации</v>
      </c>
      <c r="BG17" s="66"/>
      <c r="BH17" s="66"/>
      <c r="BI17" s="65">
        <v>0</v>
      </c>
    </row>
    <row r="18" spans="1:61" s="65" customFormat="1" ht="14.25" hidden="1" customHeight="1">
      <c r="A18" s="142"/>
      <c r="B18" s="142"/>
      <c r="C18" s="142"/>
      <c r="D18" s="142"/>
      <c r="E18" s="1283"/>
      <c r="F18" s="142"/>
      <c r="G18" s="142"/>
      <c r="H18" s="142"/>
      <c r="I18" s="142"/>
      <c r="J18" s="142"/>
      <c r="K18" s="142"/>
      <c r="L18" s="343"/>
      <c r="M18" s="756"/>
      <c r="N18" s="756"/>
      <c r="P18" s="101"/>
      <c r="Q18" s="752"/>
      <c r="R18" s="101"/>
      <c r="S18" s="757"/>
      <c r="T18" s="759" t="s">
        <v>232</v>
      </c>
      <c r="U18" s="310"/>
      <c r="V18" s="310"/>
      <c r="W18" s="310"/>
      <c r="X18" s="310"/>
      <c r="Y18" s="310"/>
      <c r="Z18" s="310"/>
      <c r="AA18" s="310"/>
      <c r="AB18" s="310"/>
      <c r="AC18" s="310"/>
      <c r="AD18" s="310"/>
      <c r="AE18" s="310"/>
      <c r="AF18" s="310"/>
      <c r="AG18" s="310"/>
      <c r="AH18" s="310"/>
      <c r="AI18" s="310"/>
      <c r="AJ18" s="310"/>
      <c r="AK18" s="310"/>
      <c r="AL18" s="310"/>
      <c r="AM18" s="310"/>
      <c r="AN18" s="310"/>
      <c r="AO18" s="310"/>
      <c r="AP18" s="310"/>
      <c r="AQ18" s="310"/>
      <c r="AR18" s="310"/>
      <c r="AS18" s="310"/>
      <c r="AT18" s="310"/>
      <c r="AU18" s="310"/>
      <c r="AV18" s="310"/>
      <c r="AW18" s="310"/>
      <c r="AX18" s="310"/>
      <c r="AY18" s="310"/>
      <c r="AZ18" s="310"/>
      <c r="BA18" s="310"/>
      <c r="BB18" s="310"/>
      <c r="BC18" s="310"/>
      <c r="BE18" s="66"/>
      <c r="BF18" s="66" t="str">
        <f t="shared" si="1"/>
        <v>Добавить территорию для дифференциации</v>
      </c>
      <c r="BG18" s="66"/>
      <c r="BH18" s="66"/>
      <c r="BI18" s="65">
        <v>0</v>
      </c>
    </row>
    <row r="19" spans="1:61" ht="14.25" hidden="1" customHeight="1">
      <c r="BI19" s="10">
        <v>0</v>
      </c>
    </row>
    <row r="20" spans="1:61" ht="14.25" hidden="1" customHeight="1">
      <c r="AD20" s="310" t="s">
        <v>19</v>
      </c>
      <c r="AE20" s="822"/>
      <c r="AF20" s="310">
        <v>1</v>
      </c>
      <c r="AG20" s="823"/>
      <c r="AH20" s="310" t="s">
        <v>19</v>
      </c>
      <c r="AI20" s="822"/>
      <c r="AJ20" s="310">
        <v>1</v>
      </c>
      <c r="AK20" s="823"/>
      <c r="AL20" s="310" t="s">
        <v>19</v>
      </c>
      <c r="AM20" s="824"/>
      <c r="AN20" s="310">
        <v>1</v>
      </c>
      <c r="AO20" s="124"/>
      <c r="AP20" s="310" t="s">
        <v>19</v>
      </c>
      <c r="AQ20" s="824"/>
      <c r="AR20" s="310">
        <v>1</v>
      </c>
      <c r="AS20" s="124"/>
      <c r="AT20" s="188"/>
      <c r="AU20" s="216"/>
      <c r="AV20" s="188"/>
      <c r="AW20" s="216"/>
      <c r="AX20" s="944"/>
      <c r="AY20" s="814" t="s">
        <v>64</v>
      </c>
      <c r="AZ20" s="944"/>
      <c r="BA20" s="814" t="s">
        <v>64</v>
      </c>
      <c r="BI20" s="10">
        <v>0</v>
      </c>
    </row>
    <row r="21" spans="1:61" ht="14.25" hidden="1" customHeight="1">
      <c r="BD21" s="200"/>
      <c r="BE21" s="200"/>
      <c r="BF21" s="200"/>
      <c r="BG21" s="200"/>
      <c r="BH21" s="200"/>
      <c r="BI21" s="10">
        <v>0</v>
      </c>
    </row>
    <row r="22" spans="1:61" ht="14.25" hidden="1" customHeight="1">
      <c r="O22" s="768" t="s">
        <v>415</v>
      </c>
      <c r="Z22" s="761"/>
      <c r="AB22" s="761"/>
      <c r="AX22" s="761"/>
      <c r="AZ22" s="761"/>
      <c r="BD22" s="200"/>
      <c r="BE22" s="200"/>
      <c r="BF22" s="200"/>
      <c r="BG22" s="200"/>
      <c r="BH22" s="200"/>
      <c r="BI22" s="10">
        <v>0</v>
      </c>
    </row>
    <row r="23" spans="1:61" ht="14.25" hidden="1" customHeight="1">
      <c r="BD23" s="200"/>
      <c r="BE23" s="200"/>
      <c r="BF23" s="200"/>
      <c r="BG23" s="200"/>
      <c r="BH23" s="200"/>
      <c r="BI23" s="10">
        <v>0</v>
      </c>
    </row>
    <row r="24" spans="1:61" s="827" customFormat="1" ht="14.25" hidden="1" customHeight="1">
      <c r="M24" s="828"/>
      <c r="N24" s="828"/>
      <c r="O24" s="827" t="s">
        <v>416</v>
      </c>
      <c r="P24" s="828"/>
      <c r="Q24" s="829"/>
      <c r="R24" s="829"/>
      <c r="AA24" s="827" t="s">
        <v>418</v>
      </c>
      <c r="AC24" s="827" t="s">
        <v>419</v>
      </c>
      <c r="AD24" s="827" t="s">
        <v>466</v>
      </c>
      <c r="AH24" s="827" t="s">
        <v>466</v>
      </c>
      <c r="AK24" s="827" t="s">
        <v>505</v>
      </c>
      <c r="AL24" s="827" t="s">
        <v>466</v>
      </c>
      <c r="AP24" s="827" t="s">
        <v>466</v>
      </c>
      <c r="AY24" s="827" t="s">
        <v>418</v>
      </c>
      <c r="BA24" s="827" t="s">
        <v>419</v>
      </c>
      <c r="BD24" s="830"/>
      <c r="BE24" s="830"/>
      <c r="BF24" s="830"/>
      <c r="BG24" s="830"/>
      <c r="BH24" s="830"/>
      <c r="BI24" s="827">
        <v>0</v>
      </c>
    </row>
    <row r="25" spans="1:61" ht="14.25" hidden="1" customHeight="1">
      <c r="O25" s="767"/>
      <c r="BD25" s="200"/>
      <c r="BE25" s="200"/>
      <c r="BF25" s="200"/>
      <c r="BG25" s="200"/>
      <c r="BH25" s="200"/>
      <c r="BI25" s="10">
        <v>0</v>
      </c>
    </row>
    <row r="26" spans="1:61" ht="14.25" hidden="1" customHeight="1">
      <c r="O26" s="767"/>
      <c r="BD26" s="200"/>
      <c r="BE26" s="200"/>
      <c r="BF26" s="200"/>
      <c r="BG26" s="200"/>
      <c r="BH26" s="200"/>
      <c r="BI26" s="10">
        <v>0</v>
      </c>
    </row>
    <row r="27" spans="1:61" ht="14.65" customHeight="1">
      <c r="Q27" s="165"/>
      <c r="R27" s="27"/>
      <c r="S27" s="736"/>
      <c r="T27" s="9"/>
      <c r="U27" s="9"/>
      <c r="BI27" s="10">
        <v>14</v>
      </c>
    </row>
    <row r="28" spans="1:61" ht="14.65" customHeight="1">
      <c r="Q28" s="165"/>
      <c r="R28" s="27"/>
      <c r="S28" s="126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4"/>
      <c r="U28" s="1264"/>
      <c r="V28" s="1264"/>
      <c r="W28" s="1264"/>
      <c r="X28" s="1264"/>
      <c r="Y28" s="1264"/>
      <c r="Z28" s="1264"/>
      <c r="AA28" s="1264"/>
      <c r="AB28" s="1264"/>
      <c r="AC28" s="1264"/>
      <c r="AD28" s="1264"/>
      <c r="AE28" s="1264"/>
      <c r="AF28" s="1264"/>
      <c r="AG28" s="1264"/>
      <c r="AH28" s="1264"/>
      <c r="AI28" s="1264"/>
      <c r="AJ28" s="1264"/>
      <c r="AK28" s="1264"/>
      <c r="AL28" s="1264"/>
      <c r="AM28" s="1264"/>
      <c r="AN28" s="1264"/>
      <c r="AO28" s="1264"/>
      <c r="AP28" s="1264"/>
      <c r="AQ28" s="1264"/>
      <c r="AR28" s="1264"/>
      <c r="AS28" s="1264"/>
      <c r="AT28" s="1264"/>
      <c r="AU28" s="1264"/>
      <c r="AV28" s="1264"/>
      <c r="AW28" s="1264"/>
      <c r="AX28" s="1264"/>
      <c r="AY28" s="1264"/>
      <c r="AZ28" s="1264"/>
      <c r="BA28" s="57"/>
      <c r="BI28" s="10">
        <v>14</v>
      </c>
    </row>
    <row r="29" spans="1:61" ht="14.65" customHeight="1">
      <c r="Q29" s="165"/>
      <c r="R29" s="27"/>
      <c r="S29" s="1236" t="str">
        <f>IF(org=0,"Не определено",org)</f>
        <v>Общество с ограниченной ответственностью "Березовский рудник"</v>
      </c>
      <c r="T29" s="1236"/>
      <c r="U29" s="1236"/>
      <c r="V29" s="1236"/>
      <c r="W29" s="1236"/>
      <c r="X29" s="1236"/>
      <c r="Y29" s="1236"/>
      <c r="Z29" s="1236"/>
      <c r="AA29" s="1236"/>
      <c r="AB29" s="1236"/>
      <c r="AC29" s="1236"/>
      <c r="AD29" s="1236"/>
      <c r="AE29" s="1236"/>
      <c r="AF29" s="1236"/>
      <c r="AG29" s="1236"/>
      <c r="AH29" s="1236"/>
      <c r="AI29" s="1236"/>
      <c r="AJ29" s="1236"/>
      <c r="AK29" s="1236"/>
      <c r="AL29" s="1236"/>
      <c r="AM29" s="1236"/>
      <c r="AN29" s="1236"/>
      <c r="AO29" s="1236"/>
      <c r="AP29" s="1236"/>
      <c r="AQ29" s="1236"/>
      <c r="AR29" s="1236"/>
      <c r="AS29" s="1236"/>
      <c r="AT29" s="1236"/>
      <c r="AU29" s="1236"/>
      <c r="AV29" s="1236"/>
      <c r="AW29" s="1236"/>
      <c r="AX29" s="1236"/>
      <c r="AY29" s="1236"/>
      <c r="AZ29" s="1236"/>
      <c r="BA29" s="57"/>
      <c r="BI29" s="10">
        <v>14</v>
      </c>
    </row>
    <row r="30" spans="1:61" ht="14.25" hidden="1" customHeight="1">
      <c r="Q30" s="165"/>
      <c r="R30" s="27"/>
      <c r="S30" s="736"/>
      <c r="T30" s="9"/>
      <c r="U30" s="9"/>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I30" s="10">
        <v>0</v>
      </c>
    </row>
    <row r="31" spans="1:61" s="34" customFormat="1" ht="25.5" hidden="1" customHeight="1">
      <c r="A31" s="79"/>
      <c r="B31" s="79"/>
      <c r="C31" s="79"/>
      <c r="D31" s="79"/>
      <c r="E31" s="79"/>
      <c r="F31" s="79"/>
      <c r="G31" s="79"/>
      <c r="H31" s="79"/>
      <c r="I31" s="79"/>
      <c r="J31" s="79"/>
      <c r="K31" s="79"/>
      <c r="L31" s="767"/>
      <c r="M31" s="79"/>
      <c r="N31" s="79"/>
      <c r="O31" s="79"/>
      <c r="P31" s="79"/>
      <c r="Q31" s="79"/>
      <c r="S31" s="1274" t="s">
        <v>41</v>
      </c>
      <c r="T31" s="1274"/>
      <c r="U31" s="770"/>
      <c r="V31" s="1276" t="str">
        <f>IF(TITLE_NAME_OR_PR_CHANGE="",IF(TITLE_NAME_OR_PR="","",TITLE_NAME_OR_PR),TITLE_NAME_OR_PR_CHANGE)</f>
        <v/>
      </c>
      <c r="W31" s="1276"/>
      <c r="X31" s="1276"/>
      <c r="Y31" s="1276"/>
      <c r="Z31" s="1276"/>
      <c r="AA31" s="1276"/>
      <c r="AB31" s="1276"/>
      <c r="AC31" s="10"/>
      <c r="AD31" s="1276" t="str">
        <f>IF(TITLE_NAME_OR_PR_CHANGE="",IF(TITLE_NAME_OR_PR="","",TITLE_NAME_OR_PR),TITLE_NAME_OR_PR_CHANGE)</f>
        <v/>
      </c>
      <c r="AE31" s="1276"/>
      <c r="AF31" s="1276"/>
      <c r="AG31" s="1276"/>
      <c r="AH31" s="1276"/>
      <c r="AI31" s="1276"/>
      <c r="AJ31" s="1276"/>
      <c r="AK31" s="1276"/>
      <c r="AL31" s="1276"/>
      <c r="AM31" s="1276"/>
      <c r="AN31" s="1276"/>
      <c r="AO31" s="1276"/>
      <c r="AP31" s="1276"/>
      <c r="AQ31" s="1276"/>
      <c r="AR31" s="1276"/>
      <c r="AS31" s="1276"/>
      <c r="AT31" s="1276"/>
      <c r="AU31" s="1276"/>
      <c r="AV31" s="1276"/>
      <c r="AW31" s="1276"/>
      <c r="AX31" s="1276"/>
      <c r="AY31" s="1276"/>
      <c r="AZ31" s="1276"/>
      <c r="BA31" s="10"/>
      <c r="BB31" s="10"/>
      <c r="BC31" s="160"/>
      <c r="BD31" s="66"/>
      <c r="BE31" s="66"/>
      <c r="BF31" s="66"/>
      <c r="BG31" s="66"/>
      <c r="BH31" s="66"/>
      <c r="BI31" s="34">
        <v>0</v>
      </c>
    </row>
    <row r="32" spans="1:61" s="34" customFormat="1" ht="18.75" hidden="1" customHeight="1">
      <c r="A32" s="79"/>
      <c r="B32" s="79"/>
      <c r="C32" s="79"/>
      <c r="D32" s="79"/>
      <c r="E32" s="79"/>
      <c r="F32" s="79"/>
      <c r="G32" s="79"/>
      <c r="H32" s="79"/>
      <c r="I32" s="79"/>
      <c r="J32" s="79"/>
      <c r="K32" s="79"/>
      <c r="L32" s="767"/>
      <c r="M32" s="79"/>
      <c r="N32" s="79"/>
      <c r="O32" s="79"/>
      <c r="P32" s="79"/>
      <c r="Q32" s="79"/>
      <c r="S32" s="1274" t="s">
        <v>421</v>
      </c>
      <c r="T32" s="1274"/>
      <c r="U32" s="770"/>
      <c r="V32" s="1275">
        <f>IF(TITLE_DATE_PR_CHANGE="",IF(TITLE_DATE_PR="","",TITLE_DATE_PR),TITLE_DATE_PR_CHANGE)</f>
        <v>45805</v>
      </c>
      <c r="W32" s="1275"/>
      <c r="X32" s="1275"/>
      <c r="Y32" s="1275"/>
      <c r="Z32" s="1275"/>
      <c r="AA32" s="1275"/>
      <c r="AB32" s="1275"/>
      <c r="AC32" s="10"/>
      <c r="AD32" s="1275">
        <f>IF(TITLE_DATE_PR_CHANGE="",IF(TITLE_DATE_PR="","",TITLE_DATE_PR),TITLE_DATE_PR_CHANGE)</f>
        <v>45805</v>
      </c>
      <c r="AE32" s="1275"/>
      <c r="AF32" s="1275"/>
      <c r="AG32" s="1275"/>
      <c r="AH32" s="1275"/>
      <c r="AI32" s="1275"/>
      <c r="AJ32" s="1275"/>
      <c r="AK32" s="1275"/>
      <c r="AL32" s="1275"/>
      <c r="AM32" s="1275"/>
      <c r="AN32" s="1275"/>
      <c r="AO32" s="1275"/>
      <c r="AP32" s="1275"/>
      <c r="AQ32" s="1275"/>
      <c r="AR32" s="1275"/>
      <c r="AS32" s="1275"/>
      <c r="AT32" s="1275"/>
      <c r="AU32" s="1275"/>
      <c r="AV32" s="1275"/>
      <c r="AW32" s="1275"/>
      <c r="AX32" s="1275"/>
      <c r="AY32" s="1275"/>
      <c r="AZ32" s="1275"/>
      <c r="BA32" s="10"/>
      <c r="BB32" s="10"/>
      <c r="BC32" s="160"/>
      <c r="BD32" s="66"/>
      <c r="BE32" s="66"/>
      <c r="BF32" s="66"/>
      <c r="BG32" s="66"/>
      <c r="BH32" s="66"/>
      <c r="BI32" s="34">
        <v>0</v>
      </c>
    </row>
    <row r="33" spans="1:61" s="34" customFormat="1" ht="18.75" hidden="1" customHeight="1">
      <c r="A33" s="79"/>
      <c r="B33" s="79"/>
      <c r="C33" s="79"/>
      <c r="D33" s="79"/>
      <c r="E33" s="79"/>
      <c r="F33" s="79"/>
      <c r="G33" s="79"/>
      <c r="H33" s="79"/>
      <c r="I33" s="79"/>
      <c r="J33" s="79"/>
      <c r="K33" s="79"/>
      <c r="L33" s="767"/>
      <c r="M33" s="79"/>
      <c r="N33" s="79"/>
      <c r="O33" s="79"/>
      <c r="P33" s="79"/>
      <c r="Q33" s="79"/>
      <c r="S33" s="1274" t="s">
        <v>422</v>
      </c>
      <c r="T33" s="1274"/>
      <c r="U33" s="770"/>
      <c r="V33" s="1276" t="str">
        <f>IF(TITLE_NUMBER_PR_CHANGE="",IF(TITLE_NUMBER_PR="","",TITLE_NUMBER_PR),TITLE_NUMBER_PR_CHANGE)</f>
        <v>2496</v>
      </c>
      <c r="W33" s="1276"/>
      <c r="X33" s="1276"/>
      <c r="Y33" s="1276"/>
      <c r="Z33" s="1276"/>
      <c r="AA33" s="1276"/>
      <c r="AB33" s="1276"/>
      <c r="AC33" s="10"/>
      <c r="AD33" s="1276" t="str">
        <f>IF(TITLE_NUMBER_PR_CHANGE="",IF(TITLE_NUMBER_PR="","",TITLE_NUMBER_PR),TITLE_NUMBER_PR_CHANGE)</f>
        <v>2496</v>
      </c>
      <c r="AE33" s="1276"/>
      <c r="AF33" s="1276"/>
      <c r="AG33" s="1276"/>
      <c r="AH33" s="1276"/>
      <c r="AI33" s="1276"/>
      <c r="AJ33" s="1276"/>
      <c r="AK33" s="1276"/>
      <c r="AL33" s="1276"/>
      <c r="AM33" s="1276"/>
      <c r="AN33" s="1276"/>
      <c r="AO33" s="1276"/>
      <c r="AP33" s="1276"/>
      <c r="AQ33" s="1276"/>
      <c r="AR33" s="1276"/>
      <c r="AS33" s="1276"/>
      <c r="AT33" s="1276"/>
      <c r="AU33" s="1276"/>
      <c r="AV33" s="1276"/>
      <c r="AW33" s="1276"/>
      <c r="AX33" s="1276"/>
      <c r="AY33" s="1276"/>
      <c r="AZ33" s="1276"/>
      <c r="BA33" s="10"/>
      <c r="BB33" s="10"/>
      <c r="BC33" s="160"/>
      <c r="BD33" s="66"/>
      <c r="BE33" s="66"/>
      <c r="BF33" s="66"/>
      <c r="BG33" s="66"/>
      <c r="BH33" s="66"/>
      <c r="BI33" s="34">
        <v>0</v>
      </c>
    </row>
    <row r="34" spans="1:61" s="34" customFormat="1" ht="18.75" hidden="1" customHeight="1">
      <c r="A34" s="79"/>
      <c r="B34" s="79"/>
      <c r="C34" s="79"/>
      <c r="D34" s="79"/>
      <c r="E34" s="79"/>
      <c r="F34" s="79"/>
      <c r="G34" s="79"/>
      <c r="H34" s="79"/>
      <c r="I34" s="79"/>
      <c r="J34" s="79"/>
      <c r="K34" s="79"/>
      <c r="L34" s="767"/>
      <c r="M34" s="79"/>
      <c r="N34" s="79"/>
      <c r="O34" s="79"/>
      <c r="P34" s="79"/>
      <c r="Q34" s="79"/>
      <c r="S34" s="1274" t="s">
        <v>42</v>
      </c>
      <c r="T34" s="1274"/>
      <c r="U34" s="770"/>
      <c r="V34" s="1276" t="str">
        <f>IF(TITLE_IST_PUB_CHANGE="",IF(TITLE_IST_PUB="","",TITLE_IST_PUB),TITLE_IST_PUB_CHANGE)</f>
        <v/>
      </c>
      <c r="W34" s="1276"/>
      <c r="X34" s="1276"/>
      <c r="Y34" s="1276"/>
      <c r="Z34" s="1276"/>
      <c r="AA34" s="1276"/>
      <c r="AB34" s="1276"/>
      <c r="AC34" s="10"/>
      <c r="AD34" s="1276" t="str">
        <f>IF(TITLE_IST_PUB_CHANGE="",IF(TITLE_IST_PUB="","",TITLE_IST_PUB),TITLE_IST_PUB_CHANGE)</f>
        <v/>
      </c>
      <c r="AE34" s="1276"/>
      <c r="AF34" s="1276"/>
      <c r="AG34" s="1276"/>
      <c r="AH34" s="1276"/>
      <c r="AI34" s="1276"/>
      <c r="AJ34" s="1276"/>
      <c r="AK34" s="1276"/>
      <c r="AL34" s="1276"/>
      <c r="AM34" s="1276"/>
      <c r="AN34" s="1276"/>
      <c r="AO34" s="1276"/>
      <c r="AP34" s="1276"/>
      <c r="AQ34" s="1276"/>
      <c r="AR34" s="1276"/>
      <c r="AS34" s="1276"/>
      <c r="AT34" s="1276"/>
      <c r="AU34" s="1276"/>
      <c r="AV34" s="1276"/>
      <c r="AW34" s="1276"/>
      <c r="AX34" s="1276"/>
      <c r="AY34" s="1276"/>
      <c r="AZ34" s="1276"/>
      <c r="BA34" s="10"/>
      <c r="BB34" s="10"/>
      <c r="BC34" s="160"/>
      <c r="BD34" s="66"/>
      <c r="BE34" s="66"/>
      <c r="BF34" s="66"/>
      <c r="BG34" s="66"/>
      <c r="BH34" s="66"/>
      <c r="BI34" s="34">
        <v>0</v>
      </c>
    </row>
    <row r="35" spans="1:61" ht="14.25" customHeight="1">
      <c r="Q35" s="165"/>
      <c r="R35" s="27"/>
      <c r="S35" s="736"/>
      <c r="T35" s="9"/>
      <c r="U35" s="9"/>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I35" s="10">
        <v>0</v>
      </c>
    </row>
    <row r="36" spans="1:61" s="34" customFormat="1" ht="18.75" customHeight="1">
      <c r="A36" s="79"/>
      <c r="B36" s="79"/>
      <c r="C36" s="79"/>
      <c r="D36" s="79"/>
      <c r="E36" s="79"/>
      <c r="F36" s="79"/>
      <c r="G36" s="79"/>
      <c r="H36" s="79"/>
      <c r="I36" s="79"/>
      <c r="J36" s="79"/>
      <c r="K36" s="79"/>
      <c r="L36" s="767"/>
      <c r="M36" s="79"/>
      <c r="N36" s="79"/>
      <c r="O36" s="79"/>
      <c r="P36" s="79"/>
      <c r="Q36" s="79"/>
      <c r="S36" s="1274" t="s">
        <v>421</v>
      </c>
      <c r="T36" s="1274"/>
      <c r="U36" s="770"/>
      <c r="V36" s="1275">
        <f>IF(TITLE_DATE_PR_CHANGE="",IF(TITLE_DATE_PR="","",TITLE_DATE_PR),TITLE_DATE_PR_CHANGE)</f>
        <v>45805</v>
      </c>
      <c r="W36" s="1275"/>
      <c r="X36" s="1275"/>
      <c r="Y36" s="1275"/>
      <c r="Z36" s="1275"/>
      <c r="AA36" s="1275"/>
      <c r="AB36" s="1275"/>
      <c r="AC36" s="10"/>
      <c r="AD36" s="1275">
        <f>IF(TITLE_DATE_PR_CHANGE="",IF(TITLE_DATE_PR="","",TITLE_DATE_PR),TITLE_DATE_PR_CHANGE)</f>
        <v>45805</v>
      </c>
      <c r="AE36" s="1275"/>
      <c r="AF36" s="1275"/>
      <c r="AG36" s="1275"/>
      <c r="AH36" s="1275"/>
      <c r="AI36" s="1275"/>
      <c r="AJ36" s="1275"/>
      <c r="AK36" s="1275"/>
      <c r="AL36" s="1275"/>
      <c r="AM36" s="1275"/>
      <c r="AN36" s="1275"/>
      <c r="AO36" s="1275"/>
      <c r="AP36" s="1275"/>
      <c r="AQ36" s="1275"/>
      <c r="AR36" s="1275"/>
      <c r="AS36" s="1275"/>
      <c r="AT36" s="1275"/>
      <c r="AU36" s="1275"/>
      <c r="AV36" s="1275"/>
      <c r="AW36" s="1275"/>
      <c r="AX36" s="1275"/>
      <c r="AY36" s="1275"/>
      <c r="AZ36" s="1275"/>
      <c r="BA36" s="10"/>
      <c r="BB36" s="10"/>
      <c r="BC36" s="160"/>
      <c r="BD36" s="66"/>
      <c r="BE36" s="66"/>
      <c r="BF36" s="66"/>
      <c r="BG36" s="66"/>
      <c r="BH36" s="66"/>
      <c r="BI36" s="34">
        <v>0</v>
      </c>
    </row>
    <row r="37" spans="1:61" s="34" customFormat="1" ht="18.75" customHeight="1">
      <c r="A37" s="79"/>
      <c r="B37" s="79"/>
      <c r="C37" s="79"/>
      <c r="D37" s="79"/>
      <c r="E37" s="79"/>
      <c r="F37" s="79"/>
      <c r="G37" s="79"/>
      <c r="H37" s="79"/>
      <c r="I37" s="79"/>
      <c r="J37" s="79"/>
      <c r="K37" s="79"/>
      <c r="L37" s="767"/>
      <c r="M37" s="79"/>
      <c r="N37" s="79"/>
      <c r="O37" s="79"/>
      <c r="P37" s="79"/>
      <c r="Q37" s="79"/>
      <c r="S37" s="1274" t="s">
        <v>422</v>
      </c>
      <c r="T37" s="1274"/>
      <c r="U37" s="770"/>
      <c r="V37" s="1276" t="str">
        <f>IF(TITLE_NUMBER_PR_CHANGE="",IF(TITLE_NUMBER_PR="","",TITLE_NUMBER_PR),TITLE_NUMBER_PR_CHANGE)</f>
        <v>2496</v>
      </c>
      <c r="W37" s="1276"/>
      <c r="X37" s="1276"/>
      <c r="Y37" s="1276"/>
      <c r="Z37" s="1276"/>
      <c r="AA37" s="1276"/>
      <c r="AB37" s="1276"/>
      <c r="AC37" s="10"/>
      <c r="AD37" s="1276" t="str">
        <f>IF(TITLE_NUMBER_PR_CHANGE="",IF(TITLE_NUMBER_PR="","",TITLE_NUMBER_PR),TITLE_NUMBER_PR_CHANGE)</f>
        <v>2496</v>
      </c>
      <c r="AE37" s="1276"/>
      <c r="AF37" s="1276"/>
      <c r="AG37" s="1276"/>
      <c r="AH37" s="1276"/>
      <c r="AI37" s="1276"/>
      <c r="AJ37" s="1276"/>
      <c r="AK37" s="1276"/>
      <c r="AL37" s="1276"/>
      <c r="AM37" s="1276"/>
      <c r="AN37" s="1276"/>
      <c r="AO37" s="1276"/>
      <c r="AP37" s="1276"/>
      <c r="AQ37" s="1276"/>
      <c r="AR37" s="1276"/>
      <c r="AS37" s="1276"/>
      <c r="AT37" s="1276"/>
      <c r="AU37" s="1276"/>
      <c r="AV37" s="1276"/>
      <c r="AW37" s="1276"/>
      <c r="AX37" s="1276"/>
      <c r="AY37" s="1276"/>
      <c r="AZ37" s="1276"/>
      <c r="BA37" s="10"/>
      <c r="BB37" s="10"/>
      <c r="BC37" s="160"/>
      <c r="BD37" s="66"/>
      <c r="BE37" s="66"/>
      <c r="BF37" s="66"/>
      <c r="BG37" s="66"/>
      <c r="BH37" s="66"/>
      <c r="BI37" s="34">
        <v>0</v>
      </c>
    </row>
    <row r="38" spans="1:61" s="34" customFormat="1" ht="0" hidden="1" customHeight="1">
      <c r="A38" s="79"/>
      <c r="B38" s="79"/>
      <c r="C38" s="79"/>
      <c r="D38" s="79"/>
      <c r="E38" s="79"/>
      <c r="F38" s="79"/>
      <c r="G38" s="79"/>
      <c r="H38" s="79"/>
      <c r="I38" s="79"/>
      <c r="J38" s="79"/>
      <c r="K38" s="79"/>
      <c r="L38" s="767"/>
      <c r="M38" s="79"/>
      <c r="N38" s="79"/>
      <c r="O38" s="79"/>
      <c r="P38" s="79"/>
      <c r="Q38" s="79"/>
      <c r="S38" s="10"/>
      <c r="T38" s="10"/>
      <c r="U38" s="75"/>
      <c r="V38" s="10"/>
      <c r="W38" s="10"/>
      <c r="X38" s="10"/>
      <c r="Y38" s="10"/>
      <c r="Z38" s="10"/>
      <c r="AA38" s="10"/>
      <c r="AB38" s="10"/>
      <c r="AC38" s="65" t="s">
        <v>425</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5" t="s">
        <v>425</v>
      </c>
      <c r="BD38" s="66"/>
      <c r="BE38" s="66"/>
      <c r="BF38" s="66"/>
      <c r="BG38" s="66"/>
      <c r="BH38" s="66"/>
      <c r="BI38" s="34">
        <v>0</v>
      </c>
    </row>
    <row r="39" spans="1:61" ht="14.65" customHeight="1">
      <c r="Q39" s="165"/>
      <c r="R39" s="27"/>
      <c r="S39" s="736"/>
      <c r="T39" s="9"/>
      <c r="U39" s="717"/>
      <c r="V39" s="1295"/>
      <c r="W39" s="1295"/>
      <c r="X39" s="1295"/>
      <c r="Y39" s="1295"/>
      <c r="Z39" s="1295"/>
      <c r="AA39" s="1295"/>
      <c r="AB39" s="1295"/>
      <c r="AC39" s="1295"/>
      <c r="AD39" s="1295"/>
      <c r="AE39" s="1295"/>
      <c r="AF39" s="1295"/>
      <c r="AG39" s="1295"/>
      <c r="AH39" s="1295"/>
      <c r="AI39" s="1295"/>
      <c r="AJ39" s="1295"/>
      <c r="AK39" s="1295"/>
      <c r="AL39" s="1295"/>
      <c r="AM39" s="1295"/>
      <c r="AN39" s="1295"/>
      <c r="AO39" s="1295"/>
      <c r="AP39" s="1295"/>
      <c r="AQ39" s="1295"/>
      <c r="AR39" s="1295"/>
      <c r="AS39" s="1295"/>
      <c r="AT39" s="1295"/>
      <c r="AU39" s="1295"/>
      <c r="AV39" s="1295"/>
      <c r="AW39" s="1295"/>
      <c r="AX39" s="1295"/>
      <c r="AY39" s="1295"/>
      <c r="AZ39" s="1295"/>
      <c r="BA39" s="1295"/>
      <c r="BI39" s="10">
        <v>14</v>
      </c>
    </row>
    <row r="40" spans="1:61" ht="14.65" customHeight="1">
      <c r="Q40" s="165"/>
      <c r="R40" s="27"/>
      <c r="S40" s="1146" t="s">
        <v>300</v>
      </c>
      <c r="T40" s="1146"/>
      <c r="U40" s="1146"/>
      <c r="V40" s="1146"/>
      <c r="W40" s="1146"/>
      <c r="X40" s="1146"/>
      <c r="Y40" s="1146"/>
      <c r="Z40" s="1146"/>
      <c r="AA40" s="1146"/>
      <c r="AB40" s="1146"/>
      <c r="AC40" s="1146"/>
      <c r="AD40" s="1146"/>
      <c r="AE40" s="1146"/>
      <c r="AF40" s="1146"/>
      <c r="AG40" s="1146"/>
      <c r="AH40" s="1146"/>
      <c r="AI40" s="1146"/>
      <c r="AJ40" s="1146"/>
      <c r="AK40" s="1146"/>
      <c r="AL40" s="1146"/>
      <c r="AM40" s="1146"/>
      <c r="AN40" s="1146"/>
      <c r="AO40" s="1146"/>
      <c r="AP40" s="1146"/>
      <c r="AQ40" s="1146"/>
      <c r="AR40" s="1146"/>
      <c r="AS40" s="1146"/>
      <c r="AT40" s="1146"/>
      <c r="AU40" s="1146"/>
      <c r="AV40" s="1146"/>
      <c r="AW40" s="1146"/>
      <c r="AX40" s="1146"/>
      <c r="AY40" s="1146"/>
      <c r="AZ40" s="1146"/>
      <c r="BA40" s="1146"/>
      <c r="BB40" s="1146"/>
      <c r="BC40" s="1146" t="s">
        <v>301</v>
      </c>
      <c r="BI40" s="10">
        <v>14</v>
      </c>
    </row>
    <row r="41" spans="1:61" ht="14.65" customHeight="1">
      <c r="Q41" s="165"/>
      <c r="R41" s="27"/>
      <c r="S41" s="1296" t="s">
        <v>86</v>
      </c>
      <c r="T41" s="1244" t="s">
        <v>506</v>
      </c>
      <c r="U41" s="169"/>
      <c r="V41" s="1297" t="s">
        <v>427</v>
      </c>
      <c r="W41" s="1298"/>
      <c r="X41" s="1298"/>
      <c r="Y41" s="1298"/>
      <c r="Z41" s="1298"/>
      <c r="AA41" s="1298"/>
      <c r="AB41" s="1299"/>
      <c r="AC41" s="1300" t="s">
        <v>428</v>
      </c>
      <c r="AD41" s="1329" t="s">
        <v>507</v>
      </c>
      <c r="AE41" s="1313"/>
      <c r="AF41" s="1313"/>
      <c r="AG41" s="1330"/>
      <c r="AH41" s="1329" t="s">
        <v>508</v>
      </c>
      <c r="AI41" s="1313"/>
      <c r="AJ41" s="1313"/>
      <c r="AK41" s="1330"/>
      <c r="AL41" s="1329" t="s">
        <v>509</v>
      </c>
      <c r="AM41" s="1313"/>
      <c r="AN41" s="1313"/>
      <c r="AO41" s="1330"/>
      <c r="AP41" s="1329" t="s">
        <v>510</v>
      </c>
      <c r="AQ41" s="1313"/>
      <c r="AR41" s="1313"/>
      <c r="AS41" s="1330"/>
      <c r="AT41" s="1297" t="s">
        <v>427</v>
      </c>
      <c r="AU41" s="1298"/>
      <c r="AV41" s="1298"/>
      <c r="AW41" s="1298"/>
      <c r="AX41" s="1298"/>
      <c r="AY41" s="1298"/>
      <c r="AZ41" s="1299"/>
      <c r="BA41" s="1300" t="s">
        <v>428</v>
      </c>
      <c r="BB41" s="1303" t="s">
        <v>430</v>
      </c>
      <c r="BC41" s="1146"/>
      <c r="BI41" s="10">
        <v>14</v>
      </c>
    </row>
    <row r="42" spans="1:61" ht="35.65" customHeight="1">
      <c r="Q42" s="165"/>
      <c r="R42" s="27"/>
      <c r="S42" s="1296"/>
      <c r="T42" s="1244"/>
      <c r="U42" s="604"/>
      <c r="V42" s="1217" t="s">
        <v>511</v>
      </c>
      <c r="W42" s="1218"/>
      <c r="X42" s="1217" t="s">
        <v>512</v>
      </c>
      <c r="Y42" s="1218"/>
      <c r="Z42" s="1217" t="s">
        <v>513</v>
      </c>
      <c r="AA42" s="1325"/>
      <c r="AB42" s="1218"/>
      <c r="AC42" s="1301"/>
      <c r="AD42" s="1331"/>
      <c r="AE42" s="1332"/>
      <c r="AF42" s="1332"/>
      <c r="AG42" s="1344"/>
      <c r="AH42" s="1331"/>
      <c r="AI42" s="1332"/>
      <c r="AJ42" s="1332"/>
      <c r="AK42" s="1344"/>
      <c r="AL42" s="1331"/>
      <c r="AM42" s="1332"/>
      <c r="AN42" s="1332"/>
      <c r="AO42" s="1344"/>
      <c r="AP42" s="1331"/>
      <c r="AQ42" s="1332"/>
      <c r="AR42" s="1332"/>
      <c r="AS42" s="1344"/>
      <c r="AT42" s="1217" t="s">
        <v>511</v>
      </c>
      <c r="AU42" s="1218"/>
      <c r="AV42" s="1217" t="s">
        <v>512</v>
      </c>
      <c r="AW42" s="1218"/>
      <c r="AX42" s="1217" t="s">
        <v>513</v>
      </c>
      <c r="AY42" s="1325"/>
      <c r="AZ42" s="1218"/>
      <c r="BA42" s="1301"/>
      <c r="BB42" s="1304"/>
      <c r="BC42" s="1146"/>
      <c r="BI42" s="10">
        <v>34</v>
      </c>
    </row>
    <row r="43" spans="1:61" ht="14.65" customHeight="1">
      <c r="Q43" s="165"/>
      <c r="R43" s="27"/>
      <c r="S43" s="1296"/>
      <c r="T43" s="1244"/>
      <c r="U43" s="604"/>
      <c r="V43" s="1222"/>
      <c r="W43" s="1223"/>
      <c r="X43" s="1222"/>
      <c r="Y43" s="1223"/>
      <c r="Z43" s="1222"/>
      <c r="AA43" s="1326"/>
      <c r="AB43" s="1223"/>
      <c r="AC43" s="1301"/>
      <c r="AD43" s="1331"/>
      <c r="AE43" s="1332"/>
      <c r="AF43" s="1332"/>
      <c r="AG43" s="1344"/>
      <c r="AH43" s="1331"/>
      <c r="AI43" s="1332"/>
      <c r="AJ43" s="1332"/>
      <c r="AK43" s="1344"/>
      <c r="AL43" s="1331"/>
      <c r="AM43" s="1332"/>
      <c r="AN43" s="1332"/>
      <c r="AO43" s="1344"/>
      <c r="AP43" s="1331"/>
      <c r="AQ43" s="1332"/>
      <c r="AR43" s="1332"/>
      <c r="AS43" s="1344"/>
      <c r="AT43" s="1222"/>
      <c r="AU43" s="1223"/>
      <c r="AV43" s="1222"/>
      <c r="AW43" s="1223"/>
      <c r="AX43" s="1222"/>
      <c r="AY43" s="1326"/>
      <c r="AZ43" s="1223"/>
      <c r="BA43" s="1301"/>
      <c r="BB43" s="1304"/>
      <c r="BC43" s="1146"/>
      <c r="BI43" s="10">
        <v>14</v>
      </c>
    </row>
    <row r="44" spans="1:61" ht="14.65" customHeight="1">
      <c r="A44" s="79"/>
      <c r="B44" s="79" t="s">
        <v>133</v>
      </c>
      <c r="C44" s="79" t="s">
        <v>134</v>
      </c>
      <c r="D44" s="79" t="s">
        <v>135</v>
      </c>
      <c r="E44" s="767" t="s">
        <v>435</v>
      </c>
      <c r="F44" s="767" t="s">
        <v>436</v>
      </c>
      <c r="G44" s="767" t="s">
        <v>437</v>
      </c>
      <c r="H44" s="767" t="s">
        <v>438</v>
      </c>
      <c r="I44" s="767" t="s">
        <v>439</v>
      </c>
      <c r="J44" s="767" t="s">
        <v>440</v>
      </c>
      <c r="K44" s="767" t="s">
        <v>441</v>
      </c>
      <c r="L44" s="767" t="s">
        <v>416</v>
      </c>
      <c r="Q44" s="165"/>
      <c r="R44" s="27"/>
      <c r="S44" s="1296"/>
      <c r="T44" s="1244"/>
      <c r="U44" s="170"/>
      <c r="V44" s="35" t="s">
        <v>475</v>
      </c>
      <c r="W44" s="35" t="s">
        <v>476</v>
      </c>
      <c r="X44" s="35" t="s">
        <v>475</v>
      </c>
      <c r="Y44" s="35" t="s">
        <v>476</v>
      </c>
      <c r="Z44" s="38" t="s">
        <v>444</v>
      </c>
      <c r="AA44" s="1249" t="s">
        <v>445</v>
      </c>
      <c r="AB44" s="1263"/>
      <c r="AC44" s="1302"/>
      <c r="AD44" s="1333"/>
      <c r="AE44" s="1334"/>
      <c r="AF44" s="1334"/>
      <c r="AG44" s="1335"/>
      <c r="AH44" s="1333"/>
      <c r="AI44" s="1334"/>
      <c r="AJ44" s="1334"/>
      <c r="AK44" s="1335"/>
      <c r="AL44" s="1333"/>
      <c r="AM44" s="1334"/>
      <c r="AN44" s="1334"/>
      <c r="AO44" s="1335"/>
      <c r="AP44" s="1333"/>
      <c r="AQ44" s="1334"/>
      <c r="AR44" s="1334"/>
      <c r="AS44" s="1335"/>
      <c r="AT44" s="35" t="s">
        <v>475</v>
      </c>
      <c r="AU44" s="35" t="s">
        <v>476</v>
      </c>
      <c r="AV44" s="35" t="s">
        <v>475</v>
      </c>
      <c r="AW44" s="35" t="s">
        <v>476</v>
      </c>
      <c r="AX44" s="38" t="s">
        <v>444</v>
      </c>
      <c r="AY44" s="1249" t="s">
        <v>445</v>
      </c>
      <c r="AZ44" s="1263"/>
      <c r="BA44" s="1302"/>
      <c r="BB44" s="1305"/>
      <c r="BC44" s="1146"/>
      <c r="BI44" s="10">
        <v>14</v>
      </c>
    </row>
    <row r="45" spans="1:61" s="200" customFormat="1" ht="11.25" hidden="1" customHeight="1">
      <c r="A45" s="79"/>
      <c r="B45" s="79"/>
      <c r="C45" s="79"/>
      <c r="D45" s="79"/>
      <c r="E45" s="79"/>
      <c r="F45" s="79"/>
      <c r="G45" s="79"/>
      <c r="H45" s="79"/>
      <c r="I45" s="79"/>
      <c r="J45" s="79"/>
      <c r="K45" s="79"/>
      <c r="L45" s="767"/>
      <c r="M45" s="503"/>
      <c r="N45" s="503"/>
      <c r="O45" s="503"/>
      <c r="P45" s="287"/>
      <c r="Q45" s="722"/>
      <c r="R45" s="722">
        <v>1</v>
      </c>
      <c r="S45" s="738" t="s">
        <v>107</v>
      </c>
      <c r="T45" s="723" t="s">
        <v>108</v>
      </c>
      <c r="U45" s="718" t="str">
        <f ca="1">OFFSET(U45,0,-1)</f>
        <v>2</v>
      </c>
      <c r="V45" s="724">
        <f t="shared" ref="V45:AA45" ca="1" si="2">OFFSET(V45,0,-1)+1</f>
        <v>3</v>
      </c>
      <c r="W45" s="724">
        <f t="shared" ca="1" si="2"/>
        <v>4</v>
      </c>
      <c r="X45" s="724">
        <f t="shared" ca="1" si="2"/>
        <v>5</v>
      </c>
      <c r="Y45" s="724">
        <f t="shared" ca="1" si="2"/>
        <v>6</v>
      </c>
      <c r="Z45" s="724">
        <f t="shared" ca="1" si="2"/>
        <v>7</v>
      </c>
      <c r="AA45" s="1294">
        <f t="shared" ca="1" si="2"/>
        <v>8</v>
      </c>
      <c r="AB45" s="1294"/>
      <c r="AC45" s="724">
        <f ca="1">OFFSET(AC45,0,-2)+1</f>
        <v>9</v>
      </c>
      <c r="AD45" s="724">
        <f ca="1">OFFSET(AD45,0,-1)+1</f>
        <v>10</v>
      </c>
      <c r="AE45" s="724"/>
      <c r="AF45" s="724"/>
      <c r="AG45" s="724"/>
      <c r="AH45" s="724"/>
      <c r="AI45" s="724"/>
      <c r="AJ45" s="724"/>
      <c r="AK45" s="724"/>
      <c r="AL45" s="724"/>
      <c r="AM45" s="724"/>
      <c r="AN45" s="724"/>
      <c r="AO45" s="724"/>
      <c r="AP45" s="724"/>
      <c r="AQ45" s="724"/>
      <c r="AR45" s="724"/>
      <c r="AS45" s="724"/>
      <c r="AT45" s="724"/>
      <c r="AU45" s="724"/>
      <c r="AV45" s="724"/>
      <c r="AW45" s="724">
        <f ca="1">OFFSET(AW45,0,-1)+1</f>
        <v>1</v>
      </c>
      <c r="AX45" s="724">
        <f ca="1">OFFSET(AX45,0,-1)+1</f>
        <v>2</v>
      </c>
      <c r="AY45" s="1294">
        <f ca="1">OFFSET(AY45,0,-1)+1</f>
        <v>3</v>
      </c>
      <c r="AZ45" s="1294"/>
      <c r="BA45" s="724">
        <f ca="1">OFFSET(BA45,0,-2)+1</f>
        <v>4</v>
      </c>
      <c r="BB45" s="718">
        <f ca="1">OFFSET(BB45,0,-1)</f>
        <v>4</v>
      </c>
      <c r="BC45" s="724">
        <f ca="1">OFFSET(BC45,0,-1)+1</f>
        <v>5</v>
      </c>
      <c r="BD45" s="65"/>
      <c r="BE45" s="65"/>
      <c r="BF45" s="65"/>
      <c r="BG45" s="65"/>
      <c r="BH45" s="65"/>
      <c r="BI45" s="200">
        <v>0</v>
      </c>
    </row>
    <row r="46" spans="1:61" ht="21.95" customHeight="1">
      <c r="A46" s="766" t="s">
        <v>246</v>
      </c>
      <c r="B46" s="766"/>
      <c r="C46" s="766"/>
      <c r="D46" s="766"/>
      <c r="E46" s="1283">
        <v>1</v>
      </c>
      <c r="F46" s="766"/>
      <c r="G46" s="766"/>
      <c r="H46" s="766"/>
      <c r="I46" s="766"/>
      <c r="J46" s="766"/>
      <c r="K46" s="766"/>
      <c r="L46" s="767"/>
      <c r="M46" s="423"/>
      <c r="N46" s="423"/>
      <c r="O46" s="423"/>
      <c r="Q46" s="59"/>
      <c r="R46" s="204"/>
      <c r="S46" s="706">
        <f>INDEX(PT_DIFFERENTIATION_NUM_NTAR,MATCH(A46,PT_DIFFERENTIATION_NTAR_ID,0))</f>
        <v>0</v>
      </c>
      <c r="T46" s="64" t="s">
        <v>121</v>
      </c>
      <c r="U46" s="168"/>
      <c r="V46" s="1278"/>
      <c r="W46" s="1278"/>
      <c r="X46" s="1278"/>
      <c r="Y46" s="1278"/>
      <c r="Z46" s="1278"/>
      <c r="AA46" s="1278"/>
      <c r="AB46" s="1278"/>
      <c r="AC46" s="1279"/>
      <c r="AD46" s="1277" t="str">
        <f>INDEX(PT_DIFFERENTIATION_NTAR,MATCH(A46,PT_DIFFERENTIATION_NTAR_ID,0))</f>
        <v/>
      </c>
      <c r="AE46" s="1278"/>
      <c r="AF46" s="1278"/>
      <c r="AG46" s="1278"/>
      <c r="AH46" s="1278"/>
      <c r="AI46" s="1278"/>
      <c r="AJ46" s="1278"/>
      <c r="AK46" s="1278"/>
      <c r="AL46" s="1278"/>
      <c r="AM46" s="1278"/>
      <c r="AN46" s="1278"/>
      <c r="AO46" s="1278"/>
      <c r="AP46" s="1278"/>
      <c r="AQ46" s="1278"/>
      <c r="AR46" s="1278"/>
      <c r="AS46" s="1278"/>
      <c r="AT46" s="1278"/>
      <c r="AU46" s="1278"/>
      <c r="AV46" s="1278"/>
      <c r="AW46" s="1278"/>
      <c r="AX46" s="1278"/>
      <c r="AY46" s="1278"/>
      <c r="AZ46" s="1278"/>
      <c r="BA46" s="1278"/>
      <c r="BB46" s="1279"/>
      <c r="BC46"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c r="BI46" s="10">
        <v>21</v>
      </c>
    </row>
    <row r="47" spans="1:61" ht="21.95" customHeight="1">
      <c r="A47" s="766" t="s">
        <v>246</v>
      </c>
      <c r="B47" s="766" t="s">
        <v>247</v>
      </c>
      <c r="C47" s="766"/>
      <c r="D47" s="766"/>
      <c r="E47" s="1284"/>
      <c r="F47" s="1283">
        <v>1</v>
      </c>
      <c r="G47" s="766"/>
      <c r="H47" s="766"/>
      <c r="I47" s="766"/>
      <c r="J47" s="766"/>
      <c r="K47" s="766"/>
      <c r="L47" s="767"/>
      <c r="M47" s="423"/>
      <c r="N47" s="423"/>
      <c r="O47" s="423"/>
      <c r="P47" s="298"/>
      <c r="Q47" s="799"/>
      <c r="R47" s="202"/>
      <c r="S47" s="706" t="str">
        <f>INDEX(PT_DIFFERENTIATION_NUM_TER,MATCH(B47,PT_DIFFERENTIATION_TER_ID,0))</f>
        <v>.</v>
      </c>
      <c r="T47" s="174" t="s">
        <v>397</v>
      </c>
      <c r="U47" s="168"/>
      <c r="V47" s="1278"/>
      <c r="W47" s="1278"/>
      <c r="X47" s="1278"/>
      <c r="Y47" s="1278"/>
      <c r="Z47" s="1278"/>
      <c r="AA47" s="1278"/>
      <c r="AB47" s="1278"/>
      <c r="AC47" s="1279"/>
      <c r="AD47" s="1277" t="str">
        <f>INDEX(PT_DIFFERENTIATION_TER,MATCH(B47,PT_DIFFERENTIATION_TER_ID,0))</f>
        <v/>
      </c>
      <c r="AE47" s="1278"/>
      <c r="AF47" s="1278"/>
      <c r="AG47" s="1278"/>
      <c r="AH47" s="1278"/>
      <c r="AI47" s="1278"/>
      <c r="AJ47" s="1278"/>
      <c r="AK47" s="1278"/>
      <c r="AL47" s="1278"/>
      <c r="AM47" s="1278"/>
      <c r="AN47" s="1278"/>
      <c r="AO47" s="1278"/>
      <c r="AP47" s="1278"/>
      <c r="AQ47" s="1278"/>
      <c r="AR47" s="1278"/>
      <c r="AS47" s="1278"/>
      <c r="AT47" s="1278"/>
      <c r="AU47" s="1278"/>
      <c r="AV47" s="1278"/>
      <c r="AW47" s="1278"/>
      <c r="AX47" s="1278"/>
      <c r="AY47" s="1278"/>
      <c r="AZ47" s="1278"/>
      <c r="BA47" s="1278"/>
      <c r="BB47" s="1279"/>
      <c r="BC47" s="726" t="s">
        <v>398</v>
      </c>
      <c r="BE47" s="66"/>
      <c r="BF47" s="66" t="str">
        <f t="shared" si="3"/>
        <v>Территория действия тарифа</v>
      </c>
      <c r="BG47" s="66"/>
      <c r="BH47" s="66"/>
      <c r="BI47" s="10">
        <v>21</v>
      </c>
    </row>
    <row r="48" spans="1:61" ht="43.15" customHeight="1">
      <c r="A48" s="766" t="s">
        <v>246</v>
      </c>
      <c r="B48" s="766" t="s">
        <v>247</v>
      </c>
      <c r="C48" s="766" t="s">
        <v>248</v>
      </c>
      <c r="D48" s="766"/>
      <c r="E48" s="1284"/>
      <c r="F48" s="1284"/>
      <c r="G48" s="1283">
        <v>1</v>
      </c>
      <c r="H48" s="766"/>
      <c r="I48" s="766"/>
      <c r="J48" s="766"/>
      <c r="K48" s="766"/>
      <c r="L48" s="767"/>
      <c r="M48" s="423"/>
      <c r="N48" s="423"/>
      <c r="O48" s="423"/>
      <c r="P48" s="128"/>
      <c r="Q48" s="799"/>
      <c r="R48" s="202"/>
      <c r="S48" s="706" t="str">
        <f>INDEX(PT_DIFFERENTIATION_NUM_CS,MATCH(C48,PT_DIFFERENTIATION_CS_ID,0))</f>
        <v>..</v>
      </c>
      <c r="T48" s="175" t="s">
        <v>478</v>
      </c>
      <c r="U48" s="168"/>
      <c r="V48" s="1278"/>
      <c r="W48" s="1278"/>
      <c r="X48" s="1278"/>
      <c r="Y48" s="1278"/>
      <c r="Z48" s="1278"/>
      <c r="AA48" s="1278"/>
      <c r="AB48" s="1278"/>
      <c r="AC48" s="1279"/>
      <c r="AD48" s="1277" t="str">
        <f>INDEX(PT_DIFFERENTIATION_CS,MATCH(C48,PT_DIFFERENTIATION_CS_ID,0))</f>
        <v/>
      </c>
      <c r="AE48" s="1278"/>
      <c r="AF48" s="1278"/>
      <c r="AG48" s="1278"/>
      <c r="AH48" s="1278"/>
      <c r="AI48" s="1278"/>
      <c r="AJ48" s="1278"/>
      <c r="AK48" s="1278"/>
      <c r="AL48" s="1278"/>
      <c r="AM48" s="1278"/>
      <c r="AN48" s="1278"/>
      <c r="AO48" s="1278"/>
      <c r="AP48" s="1278"/>
      <c r="AQ48" s="1278"/>
      <c r="AR48" s="1278"/>
      <c r="AS48" s="1278"/>
      <c r="AT48" s="1278"/>
      <c r="AU48" s="1278"/>
      <c r="AV48" s="1278"/>
      <c r="AW48" s="1278"/>
      <c r="AX48" s="1278"/>
      <c r="AY48" s="1278"/>
      <c r="AZ48" s="1278"/>
      <c r="BA48" s="1278"/>
      <c r="BB48" s="1279"/>
      <c r="BC48" s="726" t="s">
        <v>479</v>
      </c>
      <c r="BE48" s="66"/>
      <c r="BF48" s="66" t="str">
        <f t="shared" si="3"/>
        <v>Наименование централизованной системы холодного водоснабжения</v>
      </c>
      <c r="BG48" s="66"/>
      <c r="BH48" s="66"/>
      <c r="BI48" s="10">
        <v>41</v>
      </c>
    </row>
    <row r="49" spans="1:61" s="65" customFormat="1" ht="0" hidden="1" customHeight="1">
      <c r="A49" s="142" t="s">
        <v>246</v>
      </c>
      <c r="B49" s="142" t="s">
        <v>247</v>
      </c>
      <c r="C49" s="142" t="s">
        <v>248</v>
      </c>
      <c r="D49" s="142" t="s">
        <v>514</v>
      </c>
      <c r="E49" s="1284"/>
      <c r="F49" s="1284"/>
      <c r="G49" s="1284"/>
      <c r="H49" s="1283">
        <v>1</v>
      </c>
      <c r="I49" s="142"/>
      <c r="J49" s="142"/>
      <c r="K49" s="142"/>
      <c r="L49" s="343"/>
      <c r="M49" s="290"/>
      <c r="N49" s="290"/>
      <c r="O49" s="290"/>
      <c r="P49" s="818"/>
      <c r="Q49" s="819"/>
      <c r="R49" s="206"/>
      <c r="S49" s="359"/>
      <c r="T49" s="820"/>
      <c r="U49" s="777"/>
      <c r="V49" s="1315"/>
      <c r="W49" s="1315"/>
      <c r="X49" s="1315"/>
      <c r="Y49" s="1315"/>
      <c r="Z49" s="1315"/>
      <c r="AA49" s="1315"/>
      <c r="AB49" s="1315"/>
      <c r="AC49" s="1316"/>
      <c r="AD49" s="1314"/>
      <c r="AE49" s="1315"/>
      <c r="AF49" s="1315"/>
      <c r="AG49" s="1315"/>
      <c r="AH49" s="1315"/>
      <c r="AI49" s="1315"/>
      <c r="AJ49" s="1315"/>
      <c r="AK49" s="1315"/>
      <c r="AL49" s="1315"/>
      <c r="AM49" s="1315"/>
      <c r="AN49" s="1315"/>
      <c r="AO49" s="1315"/>
      <c r="AP49" s="1315"/>
      <c r="AQ49" s="1315"/>
      <c r="AR49" s="1315"/>
      <c r="AS49" s="1315"/>
      <c r="AT49" s="1315"/>
      <c r="AU49" s="1315"/>
      <c r="AV49" s="1315"/>
      <c r="AW49" s="1315"/>
      <c r="AX49" s="1315"/>
      <c r="AY49" s="1315"/>
      <c r="AZ49" s="1315"/>
      <c r="BA49" s="1315"/>
      <c r="BB49" s="1316"/>
      <c r="BC49" s="778" t="s">
        <v>402</v>
      </c>
      <c r="BE49" s="66"/>
      <c r="BF49" s="66" t="str">
        <f t="shared" si="3"/>
        <v/>
      </c>
      <c r="BG49" s="66"/>
      <c r="BH49" s="66"/>
      <c r="BI49" s="65">
        <v>0</v>
      </c>
    </row>
    <row r="50" spans="1:61" s="65" customFormat="1" ht="0" hidden="1" customHeight="1">
      <c r="A50" s="142" t="s">
        <v>246</v>
      </c>
      <c r="B50" s="142" t="s">
        <v>247</v>
      </c>
      <c r="C50" s="142" t="s">
        <v>248</v>
      </c>
      <c r="D50" s="142" t="s">
        <v>514</v>
      </c>
      <c r="E50" s="1284"/>
      <c r="F50" s="1284"/>
      <c r="G50" s="1284"/>
      <c r="H50" s="1284"/>
      <c r="I50" s="1285" t="str">
        <f>S49&amp;".1"</f>
        <v>.1</v>
      </c>
      <c r="J50" s="142"/>
      <c r="K50" s="142"/>
      <c r="L50" s="343" t="s">
        <v>403</v>
      </c>
      <c r="M50" s="287"/>
      <c r="N50" s="287"/>
      <c r="O50" s="287"/>
      <c r="P50" s="1287">
        <v>1</v>
      </c>
      <c r="Q50" s="119"/>
      <c r="R50" s="205"/>
      <c r="S50" s="359"/>
      <c r="T50" s="776"/>
      <c r="U50" s="777"/>
      <c r="V50" s="1315"/>
      <c r="W50" s="1315"/>
      <c r="X50" s="1315"/>
      <c r="Y50" s="1315"/>
      <c r="Z50" s="1315"/>
      <c r="AA50" s="1315"/>
      <c r="AB50" s="1315"/>
      <c r="AC50" s="1316"/>
      <c r="AD50" s="1314"/>
      <c r="AE50" s="1315"/>
      <c r="AF50" s="1315"/>
      <c r="AG50" s="1315"/>
      <c r="AH50" s="1315"/>
      <c r="AI50" s="1315"/>
      <c r="AJ50" s="1315"/>
      <c r="AK50" s="1315"/>
      <c r="AL50" s="1315"/>
      <c r="AM50" s="1315"/>
      <c r="AN50" s="1315"/>
      <c r="AO50" s="1315"/>
      <c r="AP50" s="1315"/>
      <c r="AQ50" s="1315"/>
      <c r="AR50" s="1315"/>
      <c r="AS50" s="1315"/>
      <c r="AT50" s="1315"/>
      <c r="AU50" s="1315"/>
      <c r="AV50" s="1315"/>
      <c r="AW50" s="1315"/>
      <c r="AX50" s="1315"/>
      <c r="AY50" s="1315"/>
      <c r="AZ50" s="1315"/>
      <c r="BA50" s="1315"/>
      <c r="BB50" s="1316"/>
      <c r="BC50" s="778"/>
      <c r="BE50" s="66"/>
      <c r="BF50" s="66" t="str">
        <f t="shared" si="3"/>
        <v/>
      </c>
      <c r="BG50" s="66"/>
      <c r="BH50" s="66"/>
      <c r="BI50" s="65">
        <v>0</v>
      </c>
    </row>
    <row r="51" spans="1:61" s="65" customFormat="1" ht="0" hidden="1" customHeight="1">
      <c r="A51" s="142" t="s">
        <v>246</v>
      </c>
      <c r="B51" s="142" t="s">
        <v>247</v>
      </c>
      <c r="C51" s="142" t="s">
        <v>248</v>
      </c>
      <c r="D51" s="142" t="s">
        <v>514</v>
      </c>
      <c r="E51" s="1284"/>
      <c r="F51" s="1284"/>
      <c r="G51" s="1284"/>
      <c r="H51" s="1284"/>
      <c r="I51" s="1286"/>
      <c r="J51" s="1285" t="str">
        <f>S49&amp;".1"</f>
        <v>.1</v>
      </c>
      <c r="K51" s="142"/>
      <c r="L51" s="343"/>
      <c r="M51" s="287"/>
      <c r="N51" s="287"/>
      <c r="O51" s="287"/>
      <c r="P51" s="1287"/>
      <c r="Q51" s="1287">
        <v>1</v>
      </c>
      <c r="R51" s="206"/>
      <c r="S51" s="359"/>
      <c r="T51" s="791"/>
      <c r="U51" s="777"/>
      <c r="V51" s="1315"/>
      <c r="W51" s="1315"/>
      <c r="X51" s="1315"/>
      <c r="Y51" s="1315"/>
      <c r="Z51" s="1315"/>
      <c r="AA51" s="1315"/>
      <c r="AB51" s="1315"/>
      <c r="AC51" s="1316"/>
      <c r="AD51" s="1314"/>
      <c r="AE51" s="1315"/>
      <c r="AF51" s="1315"/>
      <c r="AG51" s="1315"/>
      <c r="AH51" s="1315"/>
      <c r="AI51" s="1315"/>
      <c r="AJ51" s="1315"/>
      <c r="AK51" s="1315"/>
      <c r="AL51" s="1315"/>
      <c r="AM51" s="1315"/>
      <c r="AN51" s="1366"/>
      <c r="AO51" s="1366"/>
      <c r="AP51" s="1315"/>
      <c r="AQ51" s="1315"/>
      <c r="AR51" s="1315"/>
      <c r="AS51" s="1315"/>
      <c r="AT51" s="1315"/>
      <c r="AU51" s="1315"/>
      <c r="AV51" s="1315"/>
      <c r="AW51" s="1315"/>
      <c r="AX51" s="1315"/>
      <c r="AY51" s="1315"/>
      <c r="AZ51" s="1315"/>
      <c r="BA51" s="1315"/>
      <c r="BB51" s="1316"/>
      <c r="BC51" s="778"/>
      <c r="BE51" s="66"/>
      <c r="BF51" s="66" t="str">
        <f t="shared" si="3"/>
        <v/>
      </c>
      <c r="BG51" s="66"/>
      <c r="BH51" s="66"/>
      <c r="BI51" s="65">
        <v>0</v>
      </c>
    </row>
    <row r="52" spans="1:61" ht="11.45" customHeight="1">
      <c r="A52" s="766" t="s">
        <v>246</v>
      </c>
      <c r="B52" s="766" t="s">
        <v>247</v>
      </c>
      <c r="C52" s="766" t="s">
        <v>248</v>
      </c>
      <c r="D52" s="766" t="s">
        <v>514</v>
      </c>
      <c r="E52" s="1284"/>
      <c r="F52" s="1284"/>
      <c r="G52" s="1284"/>
      <c r="H52" s="1284"/>
      <c r="I52" s="1286"/>
      <c r="J52" s="1286"/>
      <c r="K52" s="1285" t="str">
        <f>S48&amp;".1"</f>
        <v>...1</v>
      </c>
      <c r="L52" s="767"/>
      <c r="P52" s="1287"/>
      <c r="Q52" s="1287"/>
      <c r="R52" s="206">
        <v>1</v>
      </c>
      <c r="S52" s="1340" t="str">
        <f>$K52</f>
        <v>...1</v>
      </c>
      <c r="T52" s="1360"/>
      <c r="U52" s="168"/>
      <c r="V52" s="303"/>
      <c r="W52" s="725"/>
      <c r="X52" s="303"/>
      <c r="Y52" s="725"/>
      <c r="Z52" s="942"/>
      <c r="AA52" s="294" t="s">
        <v>64</v>
      </c>
      <c r="AB52" s="942"/>
      <c r="AC52" s="294" t="s">
        <v>64</v>
      </c>
      <c r="AD52" s="1212" t="s">
        <v>64</v>
      </c>
      <c r="AE52" s="1336"/>
      <c r="AF52" s="1240">
        <v>1</v>
      </c>
      <c r="AG52" s="1359"/>
      <c r="AH52" s="1156" t="s">
        <v>64</v>
      </c>
      <c r="AI52" s="1336"/>
      <c r="AJ52" s="1240">
        <v>1</v>
      </c>
      <c r="AK52" s="1350" t="s">
        <v>28</v>
      </c>
      <c r="AL52" s="1156" t="s">
        <v>64</v>
      </c>
      <c r="AM52" s="1217"/>
      <c r="AN52" s="1240">
        <v>1</v>
      </c>
      <c r="AO52" s="1363"/>
      <c r="AP52" s="1364" t="s">
        <v>64</v>
      </c>
      <c r="AQ52" s="177"/>
      <c r="AR52" s="265">
        <v>1</v>
      </c>
      <c r="AS52" s="116" t="s">
        <v>28</v>
      </c>
      <c r="AT52" s="303"/>
      <c r="AU52" s="725"/>
      <c r="AV52" s="303"/>
      <c r="AW52" s="725"/>
      <c r="AX52" s="942"/>
      <c r="AY52" s="294" t="s">
        <v>64</v>
      </c>
      <c r="AZ52" s="942"/>
      <c r="BA52" s="294" t="s">
        <v>64</v>
      </c>
      <c r="BB52" s="763"/>
      <c r="BC52" s="1306" t="s">
        <v>500</v>
      </c>
      <c r="BE52" s="66"/>
      <c r="BF52" s="66" t="str">
        <f t="shared" si="3"/>
        <v/>
      </c>
      <c r="BG52" s="66"/>
      <c r="BH52" s="66"/>
      <c r="BI52" s="10">
        <v>11</v>
      </c>
    </row>
    <row r="53" spans="1:61" ht="11.45" customHeight="1">
      <c r="A53" s="766"/>
      <c r="B53" s="766"/>
      <c r="C53" s="766"/>
      <c r="D53" s="766"/>
      <c r="E53" s="1284"/>
      <c r="F53" s="1284"/>
      <c r="G53" s="1284"/>
      <c r="H53" s="1284"/>
      <c r="I53" s="1286"/>
      <c r="J53" s="1286"/>
      <c r="K53" s="1285"/>
      <c r="L53" s="767"/>
      <c r="P53" s="1287"/>
      <c r="Q53" s="1287"/>
      <c r="R53" s="206"/>
      <c r="S53" s="1341"/>
      <c r="T53" s="1361"/>
      <c r="U53" s="168"/>
      <c r="V53" s="786"/>
      <c r="W53" s="817"/>
      <c r="X53" s="786"/>
      <c r="Y53" s="817"/>
      <c r="Z53" s="786"/>
      <c r="AA53" s="786"/>
      <c r="AB53" s="786"/>
      <c r="AC53" s="786"/>
      <c r="AD53" s="1213"/>
      <c r="AE53" s="1336"/>
      <c r="AF53" s="1240"/>
      <c r="AG53" s="1359"/>
      <c r="AH53" s="1156"/>
      <c r="AI53" s="1336"/>
      <c r="AJ53" s="1240"/>
      <c r="AK53" s="1350"/>
      <c r="AL53" s="1156"/>
      <c r="AM53" s="1222"/>
      <c r="AN53" s="1240"/>
      <c r="AO53" s="1363"/>
      <c r="AP53" s="1365"/>
      <c r="AQ53" s="181"/>
      <c r="AR53" s="51"/>
      <c r="AS53" s="51" t="s">
        <v>501</v>
      </c>
      <c r="AT53" s="786"/>
      <c r="AU53" s="817"/>
      <c r="AV53" s="786"/>
      <c r="AW53" s="817"/>
      <c r="AX53" s="786"/>
      <c r="AY53" s="786"/>
      <c r="AZ53" s="786"/>
      <c r="BA53" s="786"/>
      <c r="BB53" s="790"/>
      <c r="BC53" s="1307"/>
      <c r="BE53" s="66"/>
      <c r="BF53" s="66"/>
      <c r="BG53" s="66"/>
      <c r="BH53" s="66"/>
      <c r="BI53" s="10">
        <v>11</v>
      </c>
    </row>
    <row r="54" spans="1:61" ht="11.45" customHeight="1">
      <c r="A54" s="766" t="s">
        <v>246</v>
      </c>
      <c r="B54" s="766"/>
      <c r="C54" s="766"/>
      <c r="D54" s="766"/>
      <c r="E54" s="1284"/>
      <c r="F54" s="1284"/>
      <c r="G54" s="1284"/>
      <c r="H54" s="1284"/>
      <c r="I54" s="1286"/>
      <c r="J54" s="1286"/>
      <c r="K54" s="1285"/>
      <c r="L54" s="767"/>
      <c r="P54" s="1287"/>
      <c r="Q54" s="1287"/>
      <c r="R54" s="206"/>
      <c r="S54" s="1341"/>
      <c r="T54" s="1361"/>
      <c r="U54" s="168"/>
      <c r="V54" s="786"/>
      <c r="W54" s="817"/>
      <c r="X54" s="786"/>
      <c r="Y54" s="817"/>
      <c r="Z54" s="786"/>
      <c r="AA54" s="786"/>
      <c r="AB54" s="786"/>
      <c r="AC54" s="786"/>
      <c r="AD54" s="1213"/>
      <c r="AE54" s="1336"/>
      <c r="AF54" s="1240"/>
      <c r="AG54" s="1359"/>
      <c r="AH54" s="1156"/>
      <c r="AI54" s="1336"/>
      <c r="AJ54" s="1240"/>
      <c r="AK54" s="1350"/>
      <c r="AL54" s="1156"/>
      <c r="AM54" s="181"/>
      <c r="AN54" s="821"/>
      <c r="AO54" s="821" t="s">
        <v>502</v>
      </c>
      <c r="AP54" s="51"/>
      <c r="AQ54" s="51"/>
      <c r="AR54" s="51"/>
      <c r="AS54" s="786"/>
      <c r="AT54" s="786"/>
      <c r="AU54" s="817"/>
      <c r="AV54" s="786"/>
      <c r="AW54" s="817"/>
      <c r="AX54" s="786"/>
      <c r="AY54" s="786"/>
      <c r="AZ54" s="786"/>
      <c r="BA54" s="786"/>
      <c r="BB54" s="790"/>
      <c r="BC54" s="1307"/>
      <c r="BE54" s="66"/>
      <c r="BF54" s="66"/>
      <c r="BG54" s="66"/>
      <c r="BH54" s="66"/>
      <c r="BI54" s="10">
        <v>11</v>
      </c>
    </row>
    <row r="55" spans="1:61" ht="11.45" customHeight="1">
      <c r="A55" s="766" t="s">
        <v>246</v>
      </c>
      <c r="B55" s="766"/>
      <c r="C55" s="766"/>
      <c r="D55" s="766"/>
      <c r="E55" s="1284"/>
      <c r="F55" s="1284"/>
      <c r="G55" s="1284"/>
      <c r="H55" s="1284"/>
      <c r="I55" s="1286"/>
      <c r="J55" s="1286"/>
      <c r="K55" s="1285"/>
      <c r="L55" s="767"/>
      <c r="P55" s="1287"/>
      <c r="Q55" s="1287"/>
      <c r="R55" s="206"/>
      <c r="S55" s="1341"/>
      <c r="T55" s="1361"/>
      <c r="U55" s="168"/>
      <c r="V55" s="786"/>
      <c r="W55" s="817"/>
      <c r="X55" s="786"/>
      <c r="Y55" s="817"/>
      <c r="Z55" s="786"/>
      <c r="AA55" s="786"/>
      <c r="AB55" s="786"/>
      <c r="AC55" s="786"/>
      <c r="AD55" s="1213"/>
      <c r="AE55" s="1336"/>
      <c r="AF55" s="1240"/>
      <c r="AG55" s="1359"/>
      <c r="AH55" s="1156"/>
      <c r="AI55" s="166"/>
      <c r="AJ55" s="107"/>
      <c r="AK55" s="179" t="s">
        <v>503</v>
      </c>
      <c r="AL55" s="786"/>
      <c r="AM55" s="786"/>
      <c r="AN55" s="786"/>
      <c r="AO55" s="786"/>
      <c r="AP55" s="786"/>
      <c r="AQ55" s="786"/>
      <c r="AR55" s="786"/>
      <c r="AS55" s="786"/>
      <c r="AT55" s="786"/>
      <c r="AU55" s="817"/>
      <c r="AV55" s="786"/>
      <c r="AW55" s="817"/>
      <c r="AX55" s="786"/>
      <c r="AY55" s="786"/>
      <c r="AZ55" s="786"/>
      <c r="BA55" s="786"/>
      <c r="BB55" s="790"/>
      <c r="BC55" s="1307"/>
      <c r="BE55" s="66"/>
      <c r="BF55" s="66"/>
      <c r="BG55" s="66"/>
      <c r="BH55" s="66"/>
      <c r="BI55" s="10">
        <v>11</v>
      </c>
    </row>
    <row r="56" spans="1:61" ht="11.45" customHeight="1">
      <c r="A56" s="766" t="s">
        <v>246</v>
      </c>
      <c r="B56" s="766" t="s">
        <v>247</v>
      </c>
      <c r="C56" s="766" t="s">
        <v>248</v>
      </c>
      <c r="D56" s="766" t="s">
        <v>514</v>
      </c>
      <c r="E56" s="1284"/>
      <c r="F56" s="1284"/>
      <c r="G56" s="1284"/>
      <c r="H56" s="1284"/>
      <c r="I56" s="1286"/>
      <c r="J56" s="1286"/>
      <c r="K56" s="1285"/>
      <c r="L56" s="767"/>
      <c r="P56" s="1287"/>
      <c r="Q56" s="1287"/>
      <c r="R56" s="206"/>
      <c r="S56" s="1342"/>
      <c r="T56" s="1362"/>
      <c r="U56" s="168"/>
      <c r="V56" s="786"/>
      <c r="W56" s="787" t="str">
        <f>Z52&amp;"-"&amp;AB52</f>
        <v>-</v>
      </c>
      <c r="X56" s="786"/>
      <c r="Y56" s="787" t="str">
        <f>AB52&amp;"-"&amp;AD52</f>
        <v>-да</v>
      </c>
      <c r="Z56" s="786"/>
      <c r="AA56" s="786"/>
      <c r="AB56" s="786"/>
      <c r="AC56" s="786"/>
      <c r="AD56" s="1161"/>
      <c r="AE56" s="178"/>
      <c r="AF56" s="180"/>
      <c r="AG56" s="51" t="s">
        <v>504</v>
      </c>
      <c r="AH56" s="786"/>
      <c r="AI56" s="786"/>
      <c r="AJ56" s="786"/>
      <c r="AK56" s="786"/>
      <c r="AL56" s="786"/>
      <c r="AM56" s="786"/>
      <c r="AN56" s="786"/>
      <c r="AO56" s="786"/>
      <c r="AP56" s="786"/>
      <c r="AQ56" s="786"/>
      <c r="AR56" s="786"/>
      <c r="AS56" s="786"/>
      <c r="AT56" s="786"/>
      <c r="AU56" s="787" t="str">
        <f>AX52&amp;"-"&amp;AZ52</f>
        <v>-</v>
      </c>
      <c r="AV56" s="786"/>
      <c r="AW56" s="787" t="str">
        <f>AZ52&amp;"-"&amp;BB52</f>
        <v>-</v>
      </c>
      <c r="AX56" s="786"/>
      <c r="AY56" s="786"/>
      <c r="AZ56" s="786"/>
      <c r="BA56" s="786"/>
      <c r="BB56" s="789" t="str">
        <f>BE52&amp;"-"&amp;BG52</f>
        <v>-</v>
      </c>
      <c r="BC56" s="1307"/>
      <c r="BE56" s="66"/>
      <c r="BF56" s="66" t="str">
        <f t="shared" ref="BF56:BF63" si="4">IF(T56="","",T56)</f>
        <v/>
      </c>
      <c r="BG56" s="66"/>
      <c r="BH56" s="66"/>
      <c r="BI56" s="10">
        <v>11</v>
      </c>
    </row>
    <row r="57" spans="1:61" ht="11.45" customHeight="1">
      <c r="A57" s="766" t="s">
        <v>246</v>
      </c>
      <c r="B57" s="766" t="s">
        <v>247</v>
      </c>
      <c r="C57" s="766" t="s">
        <v>248</v>
      </c>
      <c r="D57" s="766" t="s">
        <v>514</v>
      </c>
      <c r="E57" s="1284"/>
      <c r="F57" s="1284"/>
      <c r="G57" s="1284"/>
      <c r="H57" s="1284"/>
      <c r="I57" s="1286"/>
      <c r="J57" s="1285"/>
      <c r="K57" s="766"/>
      <c r="L57" s="767"/>
      <c r="P57" s="1287"/>
      <c r="Q57" s="1287"/>
      <c r="R57" s="205"/>
      <c r="S57" s="739"/>
      <c r="T57" s="163" t="s">
        <v>465</v>
      </c>
      <c r="U57" s="210"/>
      <c r="V57" s="210"/>
      <c r="W57" s="210"/>
      <c r="X57" s="210"/>
      <c r="Y57" s="210"/>
      <c r="Z57" s="210"/>
      <c r="AA57" s="210"/>
      <c r="AB57" s="210"/>
      <c r="AC57" s="187"/>
      <c r="AD57" s="825"/>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187"/>
      <c r="BC57" s="1308"/>
      <c r="BE57" s="66"/>
      <c r="BF57" s="66" t="str">
        <f t="shared" si="4"/>
        <v>Добавить строку</v>
      </c>
      <c r="BG57" s="66"/>
      <c r="BH57" s="66"/>
      <c r="BI57" s="10">
        <v>11</v>
      </c>
    </row>
    <row r="58" spans="1:61" s="65" customFormat="1" ht="0" hidden="1" customHeight="1">
      <c r="A58" s="142" t="s">
        <v>246</v>
      </c>
      <c r="B58" s="142" t="s">
        <v>247</v>
      </c>
      <c r="C58" s="142" t="s">
        <v>248</v>
      </c>
      <c r="D58" s="142" t="s">
        <v>514</v>
      </c>
      <c r="E58" s="1284"/>
      <c r="F58" s="1284"/>
      <c r="G58" s="1284"/>
      <c r="H58" s="1284"/>
      <c r="I58" s="1285"/>
      <c r="J58" s="142"/>
      <c r="K58" s="142"/>
      <c r="L58" s="343"/>
      <c r="M58" s="287"/>
      <c r="N58" s="287"/>
      <c r="O58" s="287"/>
      <c r="P58" s="1287"/>
      <c r="Q58" s="119"/>
      <c r="R58" s="205"/>
      <c r="S58" s="779"/>
      <c r="T58" s="780"/>
      <c r="U58" s="781"/>
      <c r="V58" s="781"/>
      <c r="W58" s="781"/>
      <c r="X58" s="781"/>
      <c r="Y58" s="781"/>
      <c r="Z58" s="781"/>
      <c r="AA58" s="781"/>
      <c r="AB58" s="781"/>
      <c r="AC58" s="781"/>
      <c r="AD58" s="781"/>
      <c r="AE58" s="781"/>
      <c r="AF58" s="781"/>
      <c r="AG58" s="781"/>
      <c r="AH58" s="781"/>
      <c r="AI58" s="781"/>
      <c r="AJ58" s="781"/>
      <c r="AK58" s="781"/>
      <c r="AL58" s="781"/>
      <c r="AM58" s="781"/>
      <c r="AN58" s="781"/>
      <c r="AO58" s="781"/>
      <c r="AP58" s="781"/>
      <c r="AQ58" s="781"/>
      <c r="AR58" s="781"/>
      <c r="AS58" s="781"/>
      <c r="AT58" s="781"/>
      <c r="AU58" s="781"/>
      <c r="AV58" s="781"/>
      <c r="AW58" s="781"/>
      <c r="AX58" s="781"/>
      <c r="AY58" s="781"/>
      <c r="AZ58" s="781"/>
      <c r="BA58" s="781"/>
      <c r="BB58" s="781"/>
      <c r="BC58" s="782"/>
      <c r="BE58" s="66"/>
      <c r="BF58" s="66" t="str">
        <f t="shared" si="4"/>
        <v/>
      </c>
      <c r="BG58" s="66"/>
      <c r="BH58" s="66"/>
      <c r="BI58" s="65">
        <v>0</v>
      </c>
    </row>
    <row r="59" spans="1:61" s="65" customFormat="1" ht="0" hidden="1" customHeight="1">
      <c r="A59" s="142" t="s">
        <v>246</v>
      </c>
      <c r="B59" s="142" t="s">
        <v>247</v>
      </c>
      <c r="C59" s="142" t="s">
        <v>248</v>
      </c>
      <c r="D59" s="142" t="s">
        <v>514</v>
      </c>
      <c r="E59" s="1284"/>
      <c r="F59" s="1284"/>
      <c r="G59" s="1284"/>
      <c r="H59" s="1283"/>
      <c r="I59" s="142"/>
      <c r="J59" s="142"/>
      <c r="K59" s="142"/>
      <c r="L59" s="343"/>
      <c r="M59" s="290"/>
      <c r="N59" s="290"/>
      <c r="P59" s="101"/>
      <c r="Q59" s="752"/>
      <c r="R59" s="793"/>
      <c r="S59" s="779"/>
      <c r="T59" s="780"/>
      <c r="U59" s="781"/>
      <c r="V59" s="781"/>
      <c r="W59" s="781"/>
      <c r="X59" s="781"/>
      <c r="Y59" s="781"/>
      <c r="Z59" s="781"/>
      <c r="AA59" s="781"/>
      <c r="AB59" s="781"/>
      <c r="AC59" s="781"/>
      <c r="AD59" s="781"/>
      <c r="AE59" s="781"/>
      <c r="AF59" s="781"/>
      <c r="AG59" s="781"/>
      <c r="AH59" s="781"/>
      <c r="AI59" s="781"/>
      <c r="AJ59" s="781"/>
      <c r="AK59" s="781"/>
      <c r="AL59" s="781"/>
      <c r="AM59" s="781"/>
      <c r="AN59" s="781"/>
      <c r="AO59" s="781"/>
      <c r="AP59" s="781"/>
      <c r="AQ59" s="781"/>
      <c r="AR59" s="781"/>
      <c r="AS59" s="781"/>
      <c r="AT59" s="781"/>
      <c r="AU59" s="781"/>
      <c r="AV59" s="781"/>
      <c r="AW59" s="781"/>
      <c r="AX59" s="781"/>
      <c r="AY59" s="781"/>
      <c r="AZ59" s="781"/>
      <c r="BA59" s="781"/>
      <c r="BB59" s="781"/>
      <c r="BC59" s="782"/>
      <c r="BE59" s="66"/>
      <c r="BF59" s="66" t="str">
        <f t="shared" si="4"/>
        <v/>
      </c>
      <c r="BG59" s="66"/>
      <c r="BH59" s="66"/>
      <c r="BI59" s="65">
        <v>0</v>
      </c>
    </row>
    <row r="60" spans="1:61" s="65" customFormat="1" ht="0" hidden="1" customHeight="1">
      <c r="A60" s="142" t="s">
        <v>246</v>
      </c>
      <c r="B60" s="142" t="s">
        <v>247</v>
      </c>
      <c r="C60" s="142" t="s">
        <v>248</v>
      </c>
      <c r="D60" s="142"/>
      <c r="E60" s="1284"/>
      <c r="F60" s="1284"/>
      <c r="G60" s="1283"/>
      <c r="H60" s="142"/>
      <c r="I60" s="142"/>
      <c r="J60" s="142"/>
      <c r="K60" s="142"/>
      <c r="L60" s="343"/>
      <c r="M60" s="290"/>
      <c r="N60" s="290"/>
      <c r="P60" s="101"/>
      <c r="Q60" s="752"/>
      <c r="R60" s="101"/>
      <c r="S60" s="757"/>
      <c r="T60" s="759"/>
      <c r="U60" s="310"/>
      <c r="V60" s="310"/>
      <c r="W60" s="310"/>
      <c r="X60" s="310"/>
      <c r="Y60" s="310"/>
      <c r="Z60" s="310"/>
      <c r="AA60" s="310"/>
      <c r="AB60" s="310"/>
      <c r="AC60" s="310"/>
      <c r="AD60" s="310"/>
      <c r="AE60" s="310"/>
      <c r="AF60" s="310"/>
      <c r="AG60" s="310"/>
      <c r="AH60" s="310"/>
      <c r="AI60" s="310"/>
      <c r="AJ60" s="310"/>
      <c r="AK60" s="310"/>
      <c r="AL60" s="310"/>
      <c r="AM60" s="310"/>
      <c r="AN60" s="310"/>
      <c r="AO60" s="310"/>
      <c r="AP60" s="310"/>
      <c r="AQ60" s="310"/>
      <c r="AR60" s="310"/>
      <c r="AS60" s="310"/>
      <c r="AT60" s="310"/>
      <c r="AU60" s="310"/>
      <c r="AV60" s="310"/>
      <c r="AW60" s="310"/>
      <c r="AX60" s="310"/>
      <c r="AY60" s="310"/>
      <c r="AZ60" s="310"/>
      <c r="BA60" s="310"/>
      <c r="BB60" s="310"/>
      <c r="BC60" s="310"/>
      <c r="BE60" s="66"/>
      <c r="BF60" s="66" t="str">
        <f t="shared" si="4"/>
        <v/>
      </c>
      <c r="BG60" s="66"/>
      <c r="BH60" s="66"/>
      <c r="BI60" s="65">
        <v>0</v>
      </c>
    </row>
    <row r="61" spans="1:61" s="65" customFormat="1" ht="0" hidden="1" customHeight="1">
      <c r="A61" s="142" t="s">
        <v>246</v>
      </c>
      <c r="B61" s="142" t="s">
        <v>247</v>
      </c>
      <c r="C61" s="142"/>
      <c r="D61" s="142"/>
      <c r="E61" s="1284"/>
      <c r="F61" s="1283"/>
      <c r="G61" s="142"/>
      <c r="H61" s="142"/>
      <c r="I61" s="142"/>
      <c r="J61" s="142"/>
      <c r="K61" s="142"/>
      <c r="L61" s="343"/>
      <c r="M61" s="756"/>
      <c r="N61" s="756"/>
      <c r="P61" s="101"/>
      <c r="Q61" s="752"/>
      <c r="R61" s="101"/>
      <c r="S61" s="757"/>
      <c r="T61" s="759" t="s">
        <v>231</v>
      </c>
      <c r="U61" s="310"/>
      <c r="V61" s="310"/>
      <c r="W61" s="310"/>
      <c r="X61" s="310"/>
      <c r="Y61" s="310"/>
      <c r="Z61" s="310"/>
      <c r="AA61" s="310"/>
      <c r="AB61" s="310"/>
      <c r="AC61" s="310"/>
      <c r="AD61" s="310"/>
      <c r="AE61" s="310"/>
      <c r="AF61" s="310"/>
      <c r="AG61" s="310"/>
      <c r="AH61" s="310"/>
      <c r="AI61" s="310"/>
      <c r="AJ61" s="310"/>
      <c r="AK61" s="310"/>
      <c r="AL61" s="310"/>
      <c r="AM61" s="310"/>
      <c r="AN61" s="310"/>
      <c r="AO61" s="310"/>
      <c r="AP61" s="310"/>
      <c r="AQ61" s="310"/>
      <c r="AR61" s="310"/>
      <c r="AS61" s="310"/>
      <c r="AT61" s="310"/>
      <c r="AU61" s="310"/>
      <c r="AV61" s="310"/>
      <c r="AW61" s="310"/>
      <c r="AX61" s="310"/>
      <c r="AY61" s="310"/>
      <c r="AZ61" s="310"/>
      <c r="BA61" s="310"/>
      <c r="BB61" s="310"/>
      <c r="BC61" s="310"/>
      <c r="BE61" s="66"/>
      <c r="BF61" s="66" t="str">
        <f t="shared" si="4"/>
        <v>Добавить централизованную систему для дифференциации</v>
      </c>
      <c r="BG61" s="66"/>
      <c r="BH61" s="66"/>
      <c r="BI61" s="65">
        <v>0</v>
      </c>
    </row>
    <row r="62" spans="1:61" s="65" customFormat="1" ht="0" hidden="1" customHeight="1">
      <c r="A62" s="142" t="s">
        <v>246</v>
      </c>
      <c r="B62" s="142"/>
      <c r="C62" s="142"/>
      <c r="D62" s="142"/>
      <c r="E62" s="1283"/>
      <c r="F62" s="142"/>
      <c r="G62" s="142"/>
      <c r="H62" s="142"/>
      <c r="I62" s="142"/>
      <c r="J62" s="142"/>
      <c r="K62" s="142"/>
      <c r="L62" s="343"/>
      <c r="M62" s="756"/>
      <c r="N62" s="756"/>
      <c r="P62" s="101"/>
      <c r="Q62" s="752"/>
      <c r="R62" s="101"/>
      <c r="S62" s="757"/>
      <c r="T62" s="759" t="s">
        <v>232</v>
      </c>
      <c r="U62" s="310"/>
      <c r="V62" s="310"/>
      <c r="W62" s="310"/>
      <c r="X62" s="310"/>
      <c r="Y62" s="310"/>
      <c r="Z62" s="310"/>
      <c r="AA62" s="310"/>
      <c r="AB62" s="310"/>
      <c r="AC62" s="310"/>
      <c r="AD62" s="310"/>
      <c r="AE62" s="310"/>
      <c r="AF62" s="310"/>
      <c r="AG62" s="310"/>
      <c r="AH62" s="310"/>
      <c r="AI62" s="310"/>
      <c r="AJ62" s="310"/>
      <c r="AK62" s="310"/>
      <c r="AL62" s="310"/>
      <c r="AM62" s="310"/>
      <c r="AN62" s="310"/>
      <c r="AO62" s="310"/>
      <c r="AP62" s="310"/>
      <c r="AQ62" s="310"/>
      <c r="AR62" s="310"/>
      <c r="AS62" s="310"/>
      <c r="AT62" s="310"/>
      <c r="AU62" s="310"/>
      <c r="AV62" s="310"/>
      <c r="AW62" s="310"/>
      <c r="AX62" s="310"/>
      <c r="AY62" s="310"/>
      <c r="AZ62" s="310"/>
      <c r="BA62" s="310"/>
      <c r="BB62" s="310"/>
      <c r="BC62" s="310"/>
      <c r="BE62" s="66"/>
      <c r="BF62" s="66" t="str">
        <f t="shared" si="4"/>
        <v>Добавить территорию для дифференциации</v>
      </c>
      <c r="BG62" s="66"/>
      <c r="BH62" s="66"/>
      <c r="BI62" s="65">
        <v>0</v>
      </c>
    </row>
    <row r="63" spans="1:61" s="65" customFormat="1" ht="0" hidden="1" customHeight="1">
      <c r="A63" s="142"/>
      <c r="B63" s="142"/>
      <c r="C63" s="142"/>
      <c r="D63" s="142"/>
      <c r="E63" s="142"/>
      <c r="F63" s="142"/>
      <c r="G63" s="142"/>
      <c r="H63" s="142"/>
      <c r="I63" s="142"/>
      <c r="J63" s="142"/>
      <c r="K63" s="142"/>
      <c r="L63" s="343"/>
      <c r="M63" s="756"/>
      <c r="N63" s="756"/>
      <c r="P63" s="101"/>
      <c r="Q63" s="752"/>
      <c r="R63" s="101"/>
      <c r="S63" s="757"/>
      <c r="T63" s="759" t="s">
        <v>233</v>
      </c>
      <c r="U63" s="310"/>
      <c r="V63" s="310"/>
      <c r="W63" s="310"/>
      <c r="X63" s="310"/>
      <c r="Y63" s="310"/>
      <c r="Z63" s="310"/>
      <c r="AA63" s="310"/>
      <c r="AB63" s="310"/>
      <c r="AC63" s="310"/>
      <c r="AD63" s="310"/>
      <c r="AE63" s="310"/>
      <c r="AF63" s="310"/>
      <c r="AG63" s="310"/>
      <c r="AH63" s="310"/>
      <c r="AI63" s="310"/>
      <c r="AJ63" s="310"/>
      <c r="AK63" s="310"/>
      <c r="AL63" s="310"/>
      <c r="AM63" s="310"/>
      <c r="AN63" s="310"/>
      <c r="AO63" s="310"/>
      <c r="AP63" s="310"/>
      <c r="AQ63" s="310"/>
      <c r="AR63" s="310"/>
      <c r="AS63" s="310"/>
      <c r="AT63" s="310"/>
      <c r="AU63" s="310"/>
      <c r="AV63" s="310"/>
      <c r="AW63" s="310"/>
      <c r="AX63" s="310"/>
      <c r="AY63" s="310"/>
      <c r="AZ63" s="310"/>
      <c r="BA63" s="310"/>
      <c r="BB63" s="310"/>
      <c r="BC63" s="310"/>
      <c r="BE63" s="66"/>
      <c r="BF63" s="66" t="str">
        <f t="shared" si="4"/>
        <v>Добавить наименование тарифа</v>
      </c>
      <c r="BG63" s="66"/>
      <c r="BH63" s="66"/>
      <c r="BI63" s="65">
        <v>0</v>
      </c>
    </row>
    <row r="64" spans="1:61" ht="11.45" customHeight="1">
      <c r="M64" s="60"/>
      <c r="N64" s="60"/>
      <c r="O64" s="60"/>
      <c r="P64" s="60"/>
      <c r="Q64" s="60"/>
      <c r="R64" s="10"/>
      <c r="S64" s="10"/>
      <c r="BD64" s="10"/>
      <c r="BE64" s="10"/>
      <c r="BF64" s="10"/>
      <c r="BG64" s="10"/>
      <c r="BH64" s="10"/>
      <c r="BI64" s="10">
        <v>11</v>
      </c>
    </row>
    <row r="65" spans="1:61" ht="19.899999999999999" customHeight="1">
      <c r="O65" s="60"/>
      <c r="S65" s="195"/>
      <c r="T65" s="1282"/>
      <c r="U65" s="1282"/>
      <c r="V65" s="1282"/>
      <c r="W65" s="1282"/>
      <c r="X65" s="1282"/>
      <c r="Y65" s="1282"/>
      <c r="Z65" s="1282"/>
      <c r="AA65" s="1282"/>
      <c r="AB65" s="1282"/>
      <c r="AC65" s="1282"/>
      <c r="AD65" s="1282"/>
      <c r="AE65" s="1282"/>
      <c r="AF65" s="1282"/>
      <c r="AG65" s="1282"/>
      <c r="AH65" s="1282"/>
      <c r="AI65" s="1282"/>
      <c r="AJ65" s="1282"/>
      <c r="AK65" s="1282"/>
      <c r="AL65" s="1282"/>
      <c r="AM65" s="1282"/>
      <c r="AN65" s="1282"/>
      <c r="AO65" s="1282"/>
      <c r="AP65" s="1282"/>
      <c r="AQ65" s="1282"/>
      <c r="AR65" s="1282"/>
      <c r="AS65" s="1282"/>
      <c r="AT65" s="1282"/>
      <c r="AU65" s="1282"/>
      <c r="AV65" s="1282"/>
      <c r="AW65" s="1282"/>
      <c r="AX65" s="1282"/>
      <c r="AY65" s="1282"/>
      <c r="AZ65" s="1282"/>
      <c r="BA65" s="1282"/>
      <c r="BB65" s="1282"/>
      <c r="BC65" s="1282"/>
      <c r="BI65" s="10">
        <v>19</v>
      </c>
    </row>
    <row r="66" spans="1:61" ht="14.65" customHeight="1">
      <c r="O66" s="60"/>
      <c r="T66" s="370"/>
      <c r="U66" s="370"/>
      <c r="V66" s="370"/>
      <c r="W66" s="370"/>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0"/>
      <c r="AZ66" s="370"/>
      <c r="BA66" s="370"/>
      <c r="BB66" s="370"/>
      <c r="BC66" s="370"/>
      <c r="BI66" s="10">
        <v>14</v>
      </c>
    </row>
    <row r="67" spans="1:61" ht="19.899999999999999" customHeight="1">
      <c r="O67" s="60"/>
      <c r="S67" s="195"/>
      <c r="T67" s="1282"/>
      <c r="U67" s="1282"/>
      <c r="V67" s="1282"/>
      <c r="W67" s="1282"/>
      <c r="X67" s="1282"/>
      <c r="Y67" s="1282"/>
      <c r="Z67" s="1282"/>
      <c r="AA67" s="1282"/>
      <c r="AB67" s="1282"/>
      <c r="AC67" s="1282"/>
      <c r="AD67" s="1282"/>
      <c r="AE67" s="1282"/>
      <c r="AF67" s="1282"/>
      <c r="AG67" s="1282"/>
      <c r="AH67" s="1282"/>
      <c r="AI67" s="1282"/>
      <c r="AJ67" s="1282"/>
      <c r="AK67" s="1282"/>
      <c r="AL67" s="1282"/>
      <c r="AM67" s="1282"/>
      <c r="AN67" s="1282"/>
      <c r="AO67" s="1282"/>
      <c r="AP67" s="1282"/>
      <c r="AQ67" s="1282"/>
      <c r="AR67" s="1282"/>
      <c r="AS67" s="1282"/>
      <c r="AT67" s="1282"/>
      <c r="AU67" s="1282"/>
      <c r="AV67" s="1282"/>
      <c r="AW67" s="1282"/>
      <c r="AX67" s="1282"/>
      <c r="AY67" s="1282"/>
      <c r="AZ67" s="1282"/>
      <c r="BA67" s="1282"/>
      <c r="BB67" s="1282"/>
      <c r="BC67" s="1282"/>
      <c r="BI67" s="10">
        <v>19</v>
      </c>
    </row>
    <row r="68" spans="1:61" ht="14.65" customHeight="1">
      <c r="O68" s="60"/>
      <c r="BI68" s="10">
        <v>14</v>
      </c>
    </row>
    <row r="69" spans="1:61" ht="14.25" hidden="1" customHeight="1">
      <c r="A69" s="60" t="s">
        <v>80</v>
      </c>
      <c r="B69" s="60">
        <v>0</v>
      </c>
      <c r="C69" s="60">
        <v>0</v>
      </c>
      <c r="D69" s="60">
        <v>0</v>
      </c>
      <c r="E69" s="60">
        <v>0</v>
      </c>
      <c r="F69" s="60">
        <v>0</v>
      </c>
      <c r="G69" s="60">
        <v>0</v>
      </c>
      <c r="H69" s="60">
        <v>0</v>
      </c>
      <c r="I69" s="60">
        <v>0</v>
      </c>
      <c r="J69" s="60">
        <v>0</v>
      </c>
      <c r="K69" s="60">
        <v>0</v>
      </c>
      <c r="L69" s="298">
        <v>0</v>
      </c>
      <c r="M69" s="503">
        <v>0</v>
      </c>
      <c r="N69" s="503">
        <v>0</v>
      </c>
      <c r="O69" s="503">
        <v>0</v>
      </c>
      <c r="P69" s="503">
        <v>0</v>
      </c>
      <c r="Q69" s="769">
        <v>0</v>
      </c>
      <c r="R69" s="28">
        <v>3</v>
      </c>
      <c r="S69" s="339">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5">
        <v>10</v>
      </c>
      <c r="BE69" s="65">
        <v>10</v>
      </c>
      <c r="BF69" s="65">
        <v>10</v>
      </c>
      <c r="BG69" s="65">
        <v>10</v>
      </c>
      <c r="BH69" s="65">
        <v>10</v>
      </c>
      <c r="BI69" s="1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8" hidden="1" customWidth="1"/>
    <col min="13" max="14" width="12.28515625" style="503" hidden="1" customWidth="1"/>
    <col min="15" max="15" width="23.42578125" style="503" hidden="1" customWidth="1"/>
    <col min="16" max="16" width="3" style="32" customWidth="1"/>
    <col min="17" max="18" width="3" style="28" customWidth="1"/>
    <col min="19" max="19" width="12" style="339"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66"/>
      <c r="B2" s="766"/>
      <c r="C2" s="766"/>
      <c r="D2" s="766"/>
      <c r="E2" s="1283">
        <v>1</v>
      </c>
      <c r="F2" s="766"/>
      <c r="G2" s="766"/>
      <c r="H2" s="766"/>
      <c r="I2" s="766"/>
      <c r="J2" s="766"/>
      <c r="K2" s="766"/>
      <c r="L2" s="767"/>
      <c r="M2" s="423"/>
      <c r="N2" s="423"/>
      <c r="O2" s="423"/>
      <c r="Q2" s="33"/>
      <c r="R2" s="204"/>
      <c r="S2" s="706" t="e">
        <f>INDEX(PT_DIFFERENTIATION_NUM_NTAR,MATCH(A2,PT_DIFFERENTIATION_NTAR_ID,0))</f>
        <v>#N/A</v>
      </c>
      <c r="T2" s="64" t="s">
        <v>121</v>
      </c>
      <c r="U2" s="168"/>
      <c r="V2" s="1277"/>
      <c r="W2" s="1278"/>
      <c r="X2" s="1278"/>
      <c r="Y2" s="1278"/>
      <c r="Z2" s="1278"/>
      <c r="AA2" s="1278"/>
      <c r="AB2" s="1279"/>
      <c r="AC2" s="1277" t="e">
        <f>INDEX(PT_DIFFERENTIATION_NTAR,MATCH(A2,PT_DIFFERENTIATION_NTAR_ID,0))</f>
        <v>#N/A</v>
      </c>
      <c r="AD2" s="1278"/>
      <c r="AE2" s="1278"/>
      <c r="AF2" s="1278"/>
      <c r="AG2" s="1278"/>
      <c r="AH2" s="1278"/>
      <c r="AI2" s="1278"/>
      <c r="AJ2" s="1279"/>
      <c r="AK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66"/>
      <c r="B3" s="766"/>
      <c r="C3" s="766"/>
      <c r="D3" s="766"/>
      <c r="E3" s="1284"/>
      <c r="F3" s="1283">
        <v>1</v>
      </c>
      <c r="G3" s="766"/>
      <c r="H3" s="766"/>
      <c r="I3" s="766"/>
      <c r="J3" s="766"/>
      <c r="K3" s="766"/>
      <c r="L3" s="767"/>
      <c r="M3" s="423"/>
      <c r="N3" s="423"/>
      <c r="O3" s="423"/>
      <c r="P3" s="56"/>
      <c r="Q3" s="201"/>
      <c r="R3" s="202"/>
      <c r="S3" s="706" t="e">
        <f>INDEX(PT_DIFFERENTIATION_NUM_TER,MATCH(B3,PT_DIFFERENTIATION_TER_ID,0))</f>
        <v>#N/A</v>
      </c>
      <c r="T3" s="174" t="s">
        <v>397</v>
      </c>
      <c r="U3" s="168"/>
      <c r="V3" s="1277"/>
      <c r="W3" s="1278"/>
      <c r="X3" s="1278"/>
      <c r="Y3" s="1278"/>
      <c r="Z3" s="1278"/>
      <c r="AA3" s="1278"/>
      <c r="AB3" s="1279"/>
      <c r="AC3" s="1277" t="e">
        <f>INDEX(PT_DIFFERENTIATION_TER,MATCH(B3,PT_DIFFERENTIATION_TER_ID,0))</f>
        <v>#N/A</v>
      </c>
      <c r="AD3" s="1278"/>
      <c r="AE3" s="1278"/>
      <c r="AF3" s="1278"/>
      <c r="AG3" s="1278"/>
      <c r="AH3" s="1278"/>
      <c r="AI3" s="1278"/>
      <c r="AJ3" s="1279"/>
      <c r="AK3" s="726" t="s">
        <v>398</v>
      </c>
      <c r="AM3" s="66"/>
      <c r="AN3" s="66" t="str">
        <f t="shared" si="0"/>
        <v>Территория действия тарифа</v>
      </c>
      <c r="AO3" s="66"/>
      <c r="AP3" s="66"/>
      <c r="AQ3" s="10">
        <v>0</v>
      </c>
    </row>
    <row r="4" spans="1:43" ht="23.25" hidden="1" customHeight="1">
      <c r="A4" s="766"/>
      <c r="B4" s="766"/>
      <c r="C4" s="766"/>
      <c r="D4" s="766"/>
      <c r="E4" s="1284"/>
      <c r="F4" s="1284"/>
      <c r="G4" s="1283">
        <v>1</v>
      </c>
      <c r="H4" s="766"/>
      <c r="I4" s="766"/>
      <c r="J4" s="766"/>
      <c r="K4" s="766"/>
      <c r="L4" s="767"/>
      <c r="M4" s="423"/>
      <c r="N4" s="423"/>
      <c r="O4" s="423"/>
      <c r="P4" s="203"/>
      <c r="Q4" s="201"/>
      <c r="R4" s="202"/>
      <c r="S4" s="706" t="e">
        <f>INDEX(PT_DIFFERENTIATION_NUM_CS,MATCH(C4,PT_DIFFERENTIATION_CS_ID,0))</f>
        <v>#N/A</v>
      </c>
      <c r="T4" s="175" t="s">
        <v>515</v>
      </c>
      <c r="U4" s="168"/>
      <c r="V4" s="1277"/>
      <c r="W4" s="1278"/>
      <c r="X4" s="1278"/>
      <c r="Y4" s="1278"/>
      <c r="Z4" s="1278"/>
      <c r="AA4" s="1278"/>
      <c r="AB4" s="1279"/>
      <c r="AC4" s="1277" t="e">
        <f>INDEX(PT_DIFFERENTIATION_CS,MATCH(C4,PT_DIFFERENTIATION_CS_ID,0))</f>
        <v>#N/A</v>
      </c>
      <c r="AD4" s="1278"/>
      <c r="AE4" s="1278"/>
      <c r="AF4" s="1278"/>
      <c r="AG4" s="1278"/>
      <c r="AH4" s="1278"/>
      <c r="AI4" s="1278"/>
      <c r="AJ4" s="1279"/>
      <c r="AK4" s="726" t="s">
        <v>516</v>
      </c>
      <c r="AM4" s="66"/>
      <c r="AN4" s="66" t="str">
        <f t="shared" si="0"/>
        <v>Наименование централизованной системы водоотведения</v>
      </c>
      <c r="AO4" s="66"/>
      <c r="AP4" s="66"/>
      <c r="AQ4" s="10">
        <v>0</v>
      </c>
    </row>
    <row r="5" spans="1:43" ht="23.25" hidden="1" customHeight="1">
      <c r="A5" s="766"/>
      <c r="B5" s="766"/>
      <c r="C5" s="766"/>
      <c r="D5" s="766"/>
      <c r="E5" s="1284"/>
      <c r="F5" s="1284"/>
      <c r="G5" s="1284"/>
      <c r="H5" s="1284"/>
      <c r="I5" s="1285" t="e">
        <f>S4&amp;".1"</f>
        <v>#N/A</v>
      </c>
      <c r="J5" s="766"/>
      <c r="K5" s="766"/>
      <c r="L5" s="767"/>
      <c r="P5" s="1287">
        <v>1</v>
      </c>
      <c r="Q5" s="119"/>
      <c r="R5" s="205"/>
      <c r="S5" s="706" t="e">
        <f>$I5</f>
        <v>#N/A</v>
      </c>
      <c r="T5" s="161" t="s">
        <v>480</v>
      </c>
      <c r="U5" s="168"/>
      <c r="V5" s="1351"/>
      <c r="W5" s="1352"/>
      <c r="X5" s="1352"/>
      <c r="Y5" s="1352"/>
      <c r="Z5" s="1352"/>
      <c r="AA5" s="1352"/>
      <c r="AB5" s="1353"/>
      <c r="AC5" s="1354"/>
      <c r="AD5" s="1355"/>
      <c r="AE5" s="1355"/>
      <c r="AF5" s="1355"/>
      <c r="AG5" s="1355"/>
      <c r="AH5" s="1355"/>
      <c r="AI5" s="1355"/>
      <c r="AJ5" s="1356"/>
      <c r="AK5" s="726" t="s">
        <v>481</v>
      </c>
      <c r="AM5" s="66"/>
      <c r="AN5" s="66" t="str">
        <f t="shared" si="0"/>
        <v>Наименование признака дифференциации</v>
      </c>
      <c r="AO5" s="66"/>
      <c r="AP5" s="66"/>
      <c r="AQ5" s="10">
        <v>0</v>
      </c>
    </row>
    <row r="6" spans="1:43" ht="23.25" hidden="1" customHeight="1">
      <c r="A6" s="766"/>
      <c r="B6" s="766"/>
      <c r="C6" s="766"/>
      <c r="D6" s="766"/>
      <c r="E6" s="1284"/>
      <c r="F6" s="1284"/>
      <c r="G6" s="1284"/>
      <c r="H6" s="1284"/>
      <c r="I6" s="1286"/>
      <c r="J6" s="1285" t="e">
        <f>I5&amp;".1"</f>
        <v>#N/A</v>
      </c>
      <c r="K6" s="766"/>
      <c r="L6" s="767" t="s">
        <v>406</v>
      </c>
      <c r="P6" s="1287"/>
      <c r="Q6" s="1287">
        <v>1</v>
      </c>
      <c r="R6" s="206"/>
      <c r="S6" s="706" t="e">
        <f>$J6</f>
        <v>#N/A</v>
      </c>
      <c r="T6" s="162" t="s">
        <v>407</v>
      </c>
      <c r="U6" s="168"/>
      <c r="V6" s="1271"/>
      <c r="W6" s="1272"/>
      <c r="X6" s="1272"/>
      <c r="Y6" s="1272"/>
      <c r="Z6" s="1272"/>
      <c r="AA6" s="1272"/>
      <c r="AB6" s="1273"/>
      <c r="AC6" s="1271"/>
      <c r="AD6" s="1272"/>
      <c r="AE6" s="1272"/>
      <c r="AF6" s="1272"/>
      <c r="AG6" s="1272"/>
      <c r="AH6" s="1272"/>
      <c r="AI6" s="1272"/>
      <c r="AJ6" s="1273"/>
      <c r="AK6" s="750" t="s">
        <v>482</v>
      </c>
      <c r="AM6" s="66"/>
      <c r="AN6" s="66" t="str">
        <f t="shared" si="0"/>
        <v>Группа потребителей</v>
      </c>
      <c r="AO6" s="66"/>
      <c r="AP6" s="66"/>
      <c r="AQ6" s="10">
        <v>0</v>
      </c>
    </row>
    <row r="7" spans="1:43" ht="23.25" hidden="1" customHeight="1">
      <c r="A7" s="766"/>
      <c r="B7" s="766"/>
      <c r="C7" s="766"/>
      <c r="D7" s="766"/>
      <c r="E7" s="1284"/>
      <c r="F7" s="1284"/>
      <c r="G7" s="1284"/>
      <c r="H7" s="1284"/>
      <c r="I7" s="1286"/>
      <c r="J7" s="1286"/>
      <c r="K7" s="1285" t="e">
        <f>J6&amp;".1"</f>
        <v>#N/A</v>
      </c>
      <c r="L7" s="767"/>
      <c r="P7" s="1287"/>
      <c r="Q7" s="1287"/>
      <c r="R7" s="206">
        <v>1</v>
      </c>
      <c r="S7" s="706" t="e">
        <f>$K7</f>
        <v>#N/A</v>
      </c>
      <c r="T7" s="810"/>
      <c r="U7" s="168"/>
      <c r="V7" s="303"/>
      <c r="W7" s="303"/>
      <c r="X7" s="725"/>
      <c r="Y7" s="1288"/>
      <c r="Z7" s="1156" t="s">
        <v>64</v>
      </c>
      <c r="AA7" s="1288"/>
      <c r="AB7" s="1156" t="s">
        <v>64</v>
      </c>
      <c r="AC7" s="303"/>
      <c r="AD7" s="303"/>
      <c r="AE7" s="725"/>
      <c r="AF7" s="1288"/>
      <c r="AG7" s="1156" t="s">
        <v>64</v>
      </c>
      <c r="AH7" s="1290"/>
      <c r="AI7" s="1156" t="s">
        <v>64</v>
      </c>
      <c r="AJ7" s="811"/>
      <c r="AK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66"/>
      <c r="B8" s="766"/>
      <c r="C8" s="766"/>
      <c r="D8" s="766"/>
      <c r="E8" s="1284"/>
      <c r="F8" s="1284"/>
      <c r="G8" s="1284"/>
      <c r="H8" s="1284"/>
      <c r="I8" s="1286"/>
      <c r="J8" s="1286"/>
      <c r="K8" s="1285"/>
      <c r="L8" s="767"/>
      <c r="P8" s="1287"/>
      <c r="Q8" s="1287"/>
      <c r="R8" s="206"/>
      <c r="S8" s="62"/>
      <c r="T8" s="168"/>
      <c r="U8" s="168"/>
      <c r="V8" s="188"/>
      <c r="W8" s="188"/>
      <c r="X8" s="189" t="str">
        <f>Y7&amp;"-"&amp;AA7</f>
        <v>-</v>
      </c>
      <c r="Y8" s="1289"/>
      <c r="Z8" s="1156"/>
      <c r="AA8" s="1289"/>
      <c r="AB8" s="1156"/>
      <c r="AC8" s="188"/>
      <c r="AD8" s="188"/>
      <c r="AE8" s="189" t="str">
        <f>AF7&amp;"-"&amp;AH7</f>
        <v>-</v>
      </c>
      <c r="AF8" s="1289"/>
      <c r="AG8" s="1156"/>
      <c r="AH8" s="1291"/>
      <c r="AI8" s="1156"/>
      <c r="AJ8" s="385"/>
      <c r="AK8" s="1357"/>
      <c r="AM8" s="66"/>
      <c r="AN8" s="66" t="str">
        <f t="shared" si="0"/>
        <v/>
      </c>
      <c r="AO8" s="66"/>
      <c r="AP8" s="66"/>
      <c r="AQ8" s="10">
        <v>0</v>
      </c>
    </row>
    <row r="9" spans="1:43" ht="21" hidden="1" customHeight="1">
      <c r="A9" s="766"/>
      <c r="B9" s="766"/>
      <c r="C9" s="766"/>
      <c r="D9" s="766"/>
      <c r="E9" s="1284"/>
      <c r="F9" s="1284"/>
      <c r="G9" s="1284"/>
      <c r="H9" s="1284"/>
      <c r="I9" s="1286"/>
      <c r="J9" s="1285"/>
      <c r="K9" s="766"/>
      <c r="L9" s="767"/>
      <c r="P9" s="1287"/>
      <c r="Q9" s="1287"/>
      <c r="R9" s="205"/>
      <c r="S9" s="739"/>
      <c r="T9" s="163" t="s">
        <v>483</v>
      </c>
      <c r="U9" s="210"/>
      <c r="V9" s="210"/>
      <c r="W9" s="210"/>
      <c r="X9" s="210"/>
      <c r="Y9" s="210"/>
      <c r="Z9" s="210"/>
      <c r="AA9" s="210"/>
      <c r="AB9" s="210"/>
      <c r="AC9" s="210"/>
      <c r="AD9" s="210"/>
      <c r="AE9" s="210"/>
      <c r="AF9" s="210"/>
      <c r="AG9" s="210"/>
      <c r="AH9" s="210"/>
      <c r="AI9" s="210"/>
      <c r="AJ9" s="210"/>
      <c r="AK9" s="726" t="s">
        <v>484</v>
      </c>
      <c r="AM9" s="66"/>
      <c r="AN9" s="66" t="str">
        <f t="shared" si="0"/>
        <v>Добавить значение признака дифференциации</v>
      </c>
      <c r="AO9" s="66"/>
      <c r="AP9" s="66"/>
      <c r="AQ9" s="10">
        <v>0</v>
      </c>
    </row>
    <row r="10" spans="1:43" ht="21" hidden="1" customHeight="1">
      <c r="A10" s="766"/>
      <c r="B10" s="766"/>
      <c r="C10" s="766"/>
      <c r="D10" s="766"/>
      <c r="E10" s="1284"/>
      <c r="F10" s="1284"/>
      <c r="G10" s="1284"/>
      <c r="H10" s="1284"/>
      <c r="I10" s="1285"/>
      <c r="J10" s="766"/>
      <c r="K10" s="766"/>
      <c r="L10" s="767"/>
      <c r="P10" s="1287"/>
      <c r="Q10" s="119"/>
      <c r="R10" s="205"/>
      <c r="S10" s="739"/>
      <c r="T10" s="208" t="s">
        <v>412</v>
      </c>
      <c r="U10" s="210"/>
      <c r="V10" s="210"/>
      <c r="W10" s="210"/>
      <c r="X10" s="210"/>
      <c r="Y10" s="210"/>
      <c r="Z10" s="210"/>
      <c r="AA10" s="210"/>
      <c r="AB10" s="209"/>
      <c r="AC10" s="210"/>
      <c r="AD10" s="210"/>
      <c r="AE10" s="210"/>
      <c r="AF10" s="210"/>
      <c r="AG10" s="210"/>
      <c r="AH10" s="210"/>
      <c r="AI10" s="209"/>
      <c r="AJ10" s="210"/>
      <c r="AK10" s="812"/>
      <c r="AM10" s="66"/>
      <c r="AN10" s="66" t="str">
        <f t="shared" si="0"/>
        <v>Добавить группу потребителей</v>
      </c>
      <c r="AO10" s="66"/>
      <c r="AP10" s="66"/>
      <c r="AQ10" s="10">
        <v>0</v>
      </c>
    </row>
    <row r="11" spans="1:43" ht="21" hidden="1" customHeight="1">
      <c r="A11" s="766"/>
      <c r="B11" s="766"/>
      <c r="C11" s="766"/>
      <c r="D11" s="766"/>
      <c r="E11" s="1284"/>
      <c r="F11" s="1284"/>
      <c r="G11" s="1284"/>
      <c r="H11" s="1283"/>
      <c r="I11" s="766"/>
      <c r="J11" s="766"/>
      <c r="K11" s="766"/>
      <c r="L11" s="767"/>
      <c r="M11" s="423"/>
      <c r="N11" s="423"/>
      <c r="O11" s="60"/>
      <c r="P11" s="33"/>
      <c r="Q11" s="213"/>
      <c r="R11" s="204"/>
      <c r="S11" s="739"/>
      <c r="T11" s="104" t="s">
        <v>485</v>
      </c>
      <c r="U11" s="210"/>
      <c r="V11" s="210"/>
      <c r="W11" s="210"/>
      <c r="X11" s="210"/>
      <c r="Y11" s="210"/>
      <c r="Z11" s="210"/>
      <c r="AA11" s="210"/>
      <c r="AB11" s="209"/>
      <c r="AC11" s="210"/>
      <c r="AD11" s="210"/>
      <c r="AE11" s="210"/>
      <c r="AF11" s="210"/>
      <c r="AG11" s="210"/>
      <c r="AH11" s="210"/>
      <c r="AI11" s="209"/>
      <c r="AJ11" s="210"/>
      <c r="AK11" s="171"/>
      <c r="AM11" s="66"/>
      <c r="AN11" s="66" t="str">
        <f t="shared" si="0"/>
        <v>Добавить наименование признака дифференциации</v>
      </c>
      <c r="AO11" s="66"/>
      <c r="AP11" s="66"/>
      <c r="AQ11" s="10">
        <v>0</v>
      </c>
    </row>
    <row r="12" spans="1:43" s="65" customFormat="1" ht="14.25" hidden="1" customHeight="1">
      <c r="A12" s="142"/>
      <c r="B12" s="142"/>
      <c r="C12" s="142"/>
      <c r="D12" s="142"/>
      <c r="E12" s="1284"/>
      <c r="F12" s="1283"/>
      <c r="G12" s="142"/>
      <c r="H12" s="142"/>
      <c r="I12" s="142"/>
      <c r="J12" s="142"/>
      <c r="K12" s="142"/>
      <c r="L12" s="343"/>
      <c r="M12" s="756"/>
      <c r="N12" s="756"/>
      <c r="P12" s="101"/>
      <c r="Q12" s="752"/>
      <c r="R12" s="101"/>
      <c r="S12" s="757"/>
      <c r="T12" s="759" t="s">
        <v>231</v>
      </c>
      <c r="U12" s="310"/>
      <c r="V12" s="310"/>
      <c r="W12" s="310"/>
      <c r="X12" s="310"/>
      <c r="Y12" s="310"/>
      <c r="Z12" s="310"/>
      <c r="AA12" s="310"/>
      <c r="AB12" s="310"/>
      <c r="AC12" s="310"/>
      <c r="AD12" s="310"/>
      <c r="AE12" s="310"/>
      <c r="AF12" s="310"/>
      <c r="AG12" s="310"/>
      <c r="AH12" s="310"/>
      <c r="AI12" s="310"/>
      <c r="AJ12" s="310"/>
      <c r="AK12" s="310"/>
      <c r="AM12" s="66"/>
      <c r="AN12" s="66" t="str">
        <f t="shared" si="0"/>
        <v>Добавить централизованную систему для дифференциации</v>
      </c>
      <c r="AO12" s="66"/>
      <c r="AP12" s="66"/>
      <c r="AQ12" s="65">
        <v>0</v>
      </c>
    </row>
    <row r="13" spans="1:43" s="65" customFormat="1" ht="14.25" hidden="1" customHeight="1">
      <c r="A13" s="142"/>
      <c r="B13" s="142"/>
      <c r="C13" s="142"/>
      <c r="D13" s="142"/>
      <c r="E13" s="1283"/>
      <c r="F13" s="142"/>
      <c r="G13" s="142"/>
      <c r="H13" s="142"/>
      <c r="I13" s="142"/>
      <c r="J13" s="142"/>
      <c r="K13" s="142"/>
      <c r="L13" s="343"/>
      <c r="M13" s="756"/>
      <c r="N13" s="756"/>
      <c r="P13" s="101"/>
      <c r="Q13" s="752"/>
      <c r="R13" s="101"/>
      <c r="S13" s="757"/>
      <c r="T13" s="759" t="s">
        <v>232</v>
      </c>
      <c r="U13" s="310"/>
      <c r="V13" s="310"/>
      <c r="W13" s="310"/>
      <c r="X13" s="310"/>
      <c r="Y13" s="310"/>
      <c r="Z13" s="310"/>
      <c r="AA13" s="310"/>
      <c r="AB13" s="310"/>
      <c r="AC13" s="310"/>
      <c r="AD13" s="310"/>
      <c r="AE13" s="310"/>
      <c r="AF13" s="310"/>
      <c r="AG13" s="310"/>
      <c r="AH13" s="310"/>
      <c r="AI13" s="310"/>
      <c r="AJ13" s="310"/>
      <c r="AK13" s="310"/>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5"/>
      <c r="AD15" s="365"/>
      <c r="AE15" s="765"/>
      <c r="AF15" s="1281"/>
      <c r="AG15" s="1280" t="s">
        <v>64</v>
      </c>
      <c r="AH15" s="1281"/>
      <c r="AI15" s="1280" t="s">
        <v>64</v>
      </c>
      <c r="AQ15" s="10">
        <v>0</v>
      </c>
    </row>
    <row r="16" spans="1:43" ht="14.25" hidden="1" customHeight="1">
      <c r="AC16" s="365"/>
      <c r="AD16" s="365"/>
      <c r="AE16" s="189" t="str">
        <f>AF15&amp;"-"&amp;AH15</f>
        <v>-</v>
      </c>
      <c r="AF16" s="1280"/>
      <c r="AG16" s="1280"/>
      <c r="AH16" s="1280"/>
      <c r="AI16" s="1280"/>
      <c r="AQ16" s="10">
        <v>0</v>
      </c>
    </row>
    <row r="17" spans="1:43" ht="14.25" hidden="1" customHeight="1">
      <c r="AQ17" s="10">
        <v>0</v>
      </c>
    </row>
    <row r="18" spans="1:43" s="60" customFormat="1" ht="22.5" hidden="1" customHeight="1">
      <c r="L18" s="298"/>
      <c r="M18" s="503"/>
      <c r="N18" s="503"/>
      <c r="O18" s="768" t="s">
        <v>415</v>
      </c>
      <c r="P18" s="503"/>
      <c r="Q18" s="769"/>
      <c r="R18" s="769"/>
      <c r="S18" s="423"/>
      <c r="Y18" s="768"/>
      <c r="AA18" s="768"/>
      <c r="AF18" s="768"/>
      <c r="AH18" s="768"/>
      <c r="AL18" s="65"/>
      <c r="AM18" s="65"/>
      <c r="AN18" s="65"/>
      <c r="AO18" s="65"/>
      <c r="AP18" s="65"/>
      <c r="AQ18" s="60">
        <v>0</v>
      </c>
    </row>
    <row r="19" spans="1:43" s="60" customFormat="1" ht="14.25" hidden="1" customHeight="1">
      <c r="L19" s="298"/>
      <c r="M19" s="503"/>
      <c r="N19" s="503"/>
      <c r="O19" s="503"/>
      <c r="P19" s="503"/>
      <c r="Q19" s="769"/>
      <c r="R19" s="769"/>
      <c r="S19" s="423"/>
      <c r="AL19" s="65"/>
      <c r="AM19" s="65"/>
      <c r="AN19" s="65"/>
      <c r="AO19" s="65"/>
      <c r="AP19" s="65"/>
      <c r="AQ19" s="60">
        <v>0</v>
      </c>
    </row>
    <row r="20" spans="1:43" s="60" customFormat="1" ht="12" hidden="1" customHeight="1">
      <c r="L20" s="298"/>
      <c r="M20" s="503"/>
      <c r="N20" s="503"/>
      <c r="O20" s="767" t="s">
        <v>416</v>
      </c>
      <c r="P20" s="503"/>
      <c r="Q20" s="813"/>
      <c r="R20" s="813"/>
      <c r="S20" s="423"/>
      <c r="T20" s="60" t="s">
        <v>417</v>
      </c>
      <c r="Z20" s="79" t="s">
        <v>418</v>
      </c>
      <c r="AB20" s="79" t="s">
        <v>419</v>
      </c>
      <c r="AC20" s="60" t="s">
        <v>417</v>
      </c>
      <c r="AG20" s="79" t="s">
        <v>420</v>
      </c>
      <c r="AI20" s="79" t="s">
        <v>419</v>
      </c>
      <c r="AQ20" s="60">
        <v>0</v>
      </c>
    </row>
    <row r="21" spans="1:43" ht="14.25" hidden="1" customHeight="1">
      <c r="O21" s="767"/>
      <c r="AQ21" s="10">
        <v>0</v>
      </c>
    </row>
    <row r="22" spans="1:43" ht="14.25" hidden="1" customHeight="1">
      <c r="O22" s="767"/>
      <c r="AQ22" s="10">
        <v>0</v>
      </c>
    </row>
    <row r="23" spans="1:43" ht="14.65" customHeight="1">
      <c r="Q23" s="27"/>
      <c r="R23" s="27"/>
      <c r="S23" s="736"/>
      <c r="T23" s="9"/>
      <c r="U23" s="9"/>
      <c r="AQ23" s="10">
        <v>14</v>
      </c>
    </row>
    <row r="24" spans="1:43" ht="14.65" customHeight="1">
      <c r="Q24" s="27"/>
      <c r="R24" s="27"/>
      <c r="S24" s="12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4"/>
      <c r="U24" s="1264"/>
      <c r="V24" s="1264"/>
      <c r="W24" s="1264"/>
      <c r="X24" s="1264"/>
      <c r="Y24" s="1264"/>
      <c r="Z24" s="1264"/>
      <c r="AA24" s="1264"/>
      <c r="AB24" s="1264"/>
      <c r="AC24" s="1264"/>
      <c r="AD24" s="1264"/>
      <c r="AE24" s="1264"/>
      <c r="AF24" s="1264"/>
      <c r="AG24" s="1264"/>
      <c r="AH24" s="1264"/>
      <c r="AI24" s="57"/>
      <c r="AQ24" s="10">
        <v>14</v>
      </c>
    </row>
    <row r="25" spans="1:43" ht="14.65" customHeight="1">
      <c r="Q25" s="27"/>
      <c r="R25" s="27"/>
      <c r="S25" s="1236" t="str">
        <f>IF(org=0,"Не определено",org)</f>
        <v>Общество с ограниченной ответственностью "Березовский рудник"</v>
      </c>
      <c r="T25" s="1236"/>
      <c r="U25" s="1236"/>
      <c r="V25" s="1236"/>
      <c r="W25" s="1236"/>
      <c r="X25" s="1236"/>
      <c r="Y25" s="1236"/>
      <c r="Z25" s="1236"/>
      <c r="AA25" s="1236"/>
      <c r="AB25" s="1236"/>
      <c r="AC25" s="1236"/>
      <c r="AD25" s="1236"/>
      <c r="AE25" s="1236"/>
      <c r="AF25" s="1236"/>
      <c r="AG25" s="1236"/>
      <c r="AH25" s="1236"/>
      <c r="AI25" s="57"/>
      <c r="AQ25" s="10">
        <v>14</v>
      </c>
    </row>
    <row r="26" spans="1:43" ht="14.25" hidden="1" customHeight="1">
      <c r="Q26" s="27"/>
      <c r="R26" s="27"/>
      <c r="S26" s="736"/>
      <c r="T26" s="9"/>
      <c r="U26" s="9"/>
      <c r="V26" s="186"/>
      <c r="W26" s="186"/>
      <c r="X26" s="186"/>
      <c r="Y26" s="186"/>
      <c r="Z26" s="186"/>
      <c r="AA26" s="186"/>
      <c r="AB26" s="186"/>
      <c r="AC26" s="186"/>
      <c r="AD26" s="186"/>
      <c r="AE26" s="186"/>
      <c r="AF26" s="186"/>
      <c r="AG26" s="186"/>
      <c r="AH26" s="186"/>
      <c r="AI26" s="186"/>
      <c r="AQ26" s="10">
        <v>0</v>
      </c>
    </row>
    <row r="27" spans="1:43" s="34" customFormat="1" ht="25.5" hidden="1" customHeight="1">
      <c r="A27" s="79"/>
      <c r="B27" s="79"/>
      <c r="C27" s="79"/>
      <c r="D27" s="79"/>
      <c r="E27" s="79"/>
      <c r="F27" s="79"/>
      <c r="G27" s="79"/>
      <c r="H27" s="79"/>
      <c r="I27" s="79"/>
      <c r="J27" s="79"/>
      <c r="K27" s="79"/>
      <c r="L27" s="767"/>
      <c r="M27" s="79"/>
      <c r="N27" s="79"/>
      <c r="O27" s="79"/>
      <c r="S27" s="1274" t="s">
        <v>41</v>
      </c>
      <c r="T27" s="1274"/>
      <c r="U27" s="770"/>
      <c r="V27" s="1276" t="str">
        <f>IF(TITLE_NAME_OR_PR_CHANGE="",IF(TITLE_NAME_OR_PR="","",TITLE_NAME_OR_PR),TITLE_NAME_OR_PR_CHANGE)</f>
        <v/>
      </c>
      <c r="W27" s="1276"/>
      <c r="X27" s="1276"/>
      <c r="Y27" s="1276"/>
      <c r="Z27" s="1276"/>
      <c r="AA27" s="1276"/>
      <c r="AB27" s="10"/>
      <c r="AC27" s="1276" t="str">
        <f>IF(TITLE_NAME_OR_PR_CHANGE="",IF(TITLE_NAME_OR_PR="","",TITLE_NAME_OR_PR),TITLE_NAME_OR_PR_CHANGE)</f>
        <v/>
      </c>
      <c r="AD27" s="1276"/>
      <c r="AE27" s="1276"/>
      <c r="AF27" s="1276"/>
      <c r="AG27" s="1276"/>
      <c r="AH27" s="1276"/>
      <c r="AI27" s="10"/>
      <c r="AJ27" s="10"/>
      <c r="AK27" s="160"/>
      <c r="AL27" s="66"/>
      <c r="AM27" s="66"/>
      <c r="AN27" s="66"/>
      <c r="AO27" s="66"/>
      <c r="AP27" s="66"/>
      <c r="AQ27" s="34">
        <v>0</v>
      </c>
    </row>
    <row r="28" spans="1:43" s="34" customFormat="1" ht="18.75" hidden="1" customHeight="1">
      <c r="A28" s="79"/>
      <c r="B28" s="79"/>
      <c r="C28" s="79"/>
      <c r="D28" s="79"/>
      <c r="E28" s="79"/>
      <c r="F28" s="79"/>
      <c r="G28" s="79"/>
      <c r="H28" s="79"/>
      <c r="I28" s="79"/>
      <c r="J28" s="79"/>
      <c r="K28" s="79"/>
      <c r="L28" s="767"/>
      <c r="M28" s="79"/>
      <c r="N28" s="79"/>
      <c r="O28" s="79"/>
      <c r="S28" s="1274" t="s">
        <v>421</v>
      </c>
      <c r="T28" s="1274"/>
      <c r="U28" s="770"/>
      <c r="V28" s="1275">
        <f>IF(TITLE_DATE_PR_CHANGE="",IF(TITLE_DATE_PR="","",TITLE_DATE_PR),TITLE_DATE_PR_CHANGE)</f>
        <v>45805</v>
      </c>
      <c r="W28" s="1275"/>
      <c r="X28" s="1275"/>
      <c r="Y28" s="1275"/>
      <c r="Z28" s="1275"/>
      <c r="AA28" s="1275"/>
      <c r="AB28" s="10"/>
      <c r="AC28" s="1275">
        <f>IF(TITLE_DATE_PR_CHANGE="",IF(TITLE_DATE_PR="","",TITLE_DATE_PR),TITLE_DATE_PR_CHANGE)</f>
        <v>45805</v>
      </c>
      <c r="AD28" s="1275"/>
      <c r="AE28" s="1275"/>
      <c r="AF28" s="1275"/>
      <c r="AG28" s="1275"/>
      <c r="AH28" s="1275"/>
      <c r="AI28" s="10"/>
      <c r="AJ28" s="10"/>
      <c r="AK28" s="160"/>
      <c r="AL28" s="66"/>
      <c r="AM28" s="66"/>
      <c r="AN28" s="66"/>
      <c r="AO28" s="66"/>
      <c r="AP28" s="66"/>
      <c r="AQ28" s="34">
        <v>0</v>
      </c>
    </row>
    <row r="29" spans="1:43" s="34" customFormat="1" ht="18.75" hidden="1" customHeight="1">
      <c r="A29" s="79"/>
      <c r="B29" s="79"/>
      <c r="C29" s="79"/>
      <c r="D29" s="79"/>
      <c r="E29" s="79"/>
      <c r="F29" s="79"/>
      <c r="G29" s="79"/>
      <c r="H29" s="79"/>
      <c r="I29" s="79"/>
      <c r="J29" s="79"/>
      <c r="K29" s="79"/>
      <c r="L29" s="767"/>
      <c r="M29" s="79"/>
      <c r="N29" s="79"/>
      <c r="O29" s="79"/>
      <c r="S29" s="1274" t="s">
        <v>422</v>
      </c>
      <c r="T29" s="1274"/>
      <c r="U29" s="770"/>
      <c r="V29" s="1276" t="str">
        <f>IF(TITLE_NUMBER_PR_CHANGE="",IF(TITLE_NUMBER_PR="","",TITLE_NUMBER_PR),TITLE_NUMBER_PR_CHANGE)</f>
        <v>2496</v>
      </c>
      <c r="W29" s="1276"/>
      <c r="X29" s="1276"/>
      <c r="Y29" s="1276"/>
      <c r="Z29" s="1276"/>
      <c r="AA29" s="1276"/>
      <c r="AB29" s="10"/>
      <c r="AC29" s="1276" t="str">
        <f>IF(TITLE_NUMBER_PR_CHANGE="",IF(TITLE_NUMBER_PR="","",TITLE_NUMBER_PR),TITLE_NUMBER_PR_CHANGE)</f>
        <v>2496</v>
      </c>
      <c r="AD29" s="1276"/>
      <c r="AE29" s="1276"/>
      <c r="AF29" s="1276"/>
      <c r="AG29" s="1276"/>
      <c r="AH29" s="1276"/>
      <c r="AI29" s="10"/>
      <c r="AJ29" s="10"/>
      <c r="AK29" s="160"/>
      <c r="AL29" s="66"/>
      <c r="AM29" s="66"/>
      <c r="AN29" s="66"/>
      <c r="AO29" s="66"/>
      <c r="AP29" s="66"/>
      <c r="AQ29" s="34">
        <v>0</v>
      </c>
    </row>
    <row r="30" spans="1:43" s="34" customFormat="1" ht="18.75" hidden="1" customHeight="1">
      <c r="A30" s="79"/>
      <c r="B30" s="79"/>
      <c r="C30" s="79"/>
      <c r="D30" s="79"/>
      <c r="E30" s="79"/>
      <c r="F30" s="79"/>
      <c r="G30" s="79"/>
      <c r="H30" s="79"/>
      <c r="I30" s="79"/>
      <c r="J30" s="79"/>
      <c r="K30" s="79"/>
      <c r="L30" s="767"/>
      <c r="M30" s="79"/>
      <c r="N30" s="79"/>
      <c r="O30" s="79"/>
      <c r="S30" s="1274" t="s">
        <v>42</v>
      </c>
      <c r="T30" s="1274"/>
      <c r="U30" s="770"/>
      <c r="V30" s="1276" t="str">
        <f>IF(TITLE_IST_PUB_CHANGE="",IF(TITLE_IST_PUB="","",TITLE_IST_PUB),TITLE_IST_PUB_CHANGE)</f>
        <v/>
      </c>
      <c r="W30" s="1276"/>
      <c r="X30" s="1276"/>
      <c r="Y30" s="1276"/>
      <c r="Z30" s="1276"/>
      <c r="AA30" s="1276"/>
      <c r="AB30" s="10"/>
      <c r="AC30" s="1276" t="str">
        <f>IF(TITLE_IST_PUB_CHANGE="",IF(TITLE_IST_PUB="","",TITLE_IST_PUB),TITLE_IST_PUB_CHANGE)</f>
        <v/>
      </c>
      <c r="AD30" s="1276"/>
      <c r="AE30" s="1276"/>
      <c r="AF30" s="1276"/>
      <c r="AG30" s="1276"/>
      <c r="AH30" s="1276"/>
      <c r="AI30" s="10"/>
      <c r="AJ30" s="10"/>
      <c r="AK30" s="160"/>
      <c r="AL30" s="66"/>
      <c r="AM30" s="66"/>
      <c r="AN30" s="66"/>
      <c r="AO30" s="66"/>
      <c r="AP30" s="66"/>
      <c r="AQ30" s="34">
        <v>0</v>
      </c>
    </row>
    <row r="31" spans="1:43" ht="14.25" customHeight="1">
      <c r="Q31" s="27"/>
      <c r="R31" s="27"/>
      <c r="S31" s="736"/>
      <c r="T31" s="9"/>
      <c r="U31" s="9"/>
      <c r="V31" s="186"/>
      <c r="W31" s="186"/>
      <c r="X31" s="186"/>
      <c r="Y31" s="186"/>
      <c r="Z31" s="186"/>
      <c r="AA31" s="186"/>
      <c r="AB31" s="186"/>
      <c r="AC31" s="186"/>
      <c r="AD31" s="186"/>
      <c r="AE31" s="186"/>
      <c r="AF31" s="186"/>
      <c r="AG31" s="186"/>
      <c r="AH31" s="186"/>
      <c r="AI31" s="186"/>
      <c r="AQ31" s="10">
        <v>0</v>
      </c>
    </row>
    <row r="32" spans="1:43" s="34" customFormat="1" ht="18.75" customHeight="1">
      <c r="A32" s="79"/>
      <c r="B32" s="79"/>
      <c r="C32" s="79"/>
      <c r="D32" s="79"/>
      <c r="E32" s="79"/>
      <c r="F32" s="79"/>
      <c r="G32" s="79"/>
      <c r="H32" s="79"/>
      <c r="I32" s="79"/>
      <c r="J32" s="79"/>
      <c r="K32" s="79"/>
      <c r="L32" s="767"/>
      <c r="M32" s="79"/>
      <c r="N32" s="79"/>
      <c r="O32" s="79"/>
      <c r="S32" s="1274" t="s">
        <v>423</v>
      </c>
      <c r="T32" s="1274"/>
      <c r="U32" s="770"/>
      <c r="V32" s="1275">
        <f>IF(TITLE_DATE_PR_CHANGE="",IF(TITLE_DATE_PR="","",TITLE_DATE_PR),TITLE_DATE_PR_CHANGE)</f>
        <v>45805</v>
      </c>
      <c r="W32" s="1275"/>
      <c r="X32" s="1275"/>
      <c r="Y32" s="1275"/>
      <c r="Z32" s="1275"/>
      <c r="AA32" s="1275"/>
      <c r="AB32" s="10"/>
      <c r="AC32" s="1275">
        <f>IF(TITLE_DATE_PR_CHANGE="",IF(TITLE_DATE_PR="","",TITLE_DATE_PR),TITLE_DATE_PR_CHANGE)</f>
        <v>45805</v>
      </c>
      <c r="AD32" s="1275"/>
      <c r="AE32" s="1275"/>
      <c r="AF32" s="1275"/>
      <c r="AG32" s="1275"/>
      <c r="AH32" s="1275"/>
      <c r="AI32" s="10"/>
      <c r="AJ32" s="10"/>
      <c r="AK32" s="160"/>
      <c r="AL32" s="66"/>
      <c r="AM32" s="66"/>
      <c r="AN32" s="66"/>
      <c r="AO32" s="66"/>
      <c r="AP32" s="66"/>
      <c r="AQ32" s="34">
        <v>0</v>
      </c>
    </row>
    <row r="33" spans="1:43" s="34" customFormat="1" ht="18.75" customHeight="1">
      <c r="A33" s="79"/>
      <c r="B33" s="79"/>
      <c r="C33" s="79"/>
      <c r="D33" s="79"/>
      <c r="E33" s="79"/>
      <c r="F33" s="79"/>
      <c r="G33" s="79"/>
      <c r="H33" s="79"/>
      <c r="I33" s="79"/>
      <c r="J33" s="79"/>
      <c r="K33" s="79"/>
      <c r="L33" s="767"/>
      <c r="M33" s="79"/>
      <c r="N33" s="79"/>
      <c r="O33" s="79"/>
      <c r="S33" s="1274" t="s">
        <v>424</v>
      </c>
      <c r="T33" s="1274"/>
      <c r="U33" s="770"/>
      <c r="V33" s="1276" t="str">
        <f>IF(TITLE_NUMBER_PR_CHANGE="",IF(TITLE_NUMBER_PR="","",TITLE_NUMBER_PR),TITLE_NUMBER_PR_CHANGE)</f>
        <v>2496</v>
      </c>
      <c r="W33" s="1276"/>
      <c r="X33" s="1276"/>
      <c r="Y33" s="1276"/>
      <c r="Z33" s="1276"/>
      <c r="AA33" s="1276"/>
      <c r="AB33" s="10"/>
      <c r="AC33" s="1276" t="str">
        <f>IF(TITLE_NUMBER_PR_CHANGE="",IF(TITLE_NUMBER_PR="","",TITLE_NUMBER_PR),TITLE_NUMBER_PR_CHANGE)</f>
        <v>2496</v>
      </c>
      <c r="AD33" s="1276"/>
      <c r="AE33" s="1276"/>
      <c r="AF33" s="1276"/>
      <c r="AG33" s="1276"/>
      <c r="AH33" s="1276"/>
      <c r="AI33" s="10"/>
      <c r="AJ33" s="10"/>
      <c r="AK33" s="160"/>
      <c r="AL33" s="66"/>
      <c r="AM33" s="66"/>
      <c r="AN33" s="66"/>
      <c r="AO33" s="66"/>
      <c r="AP33" s="66"/>
      <c r="AQ33" s="34">
        <v>0</v>
      </c>
    </row>
    <row r="34" spans="1:43" s="34" customFormat="1" ht="1.1499999999999999" customHeight="1">
      <c r="A34" s="79"/>
      <c r="B34" s="79"/>
      <c r="C34" s="79"/>
      <c r="D34" s="79"/>
      <c r="E34" s="79"/>
      <c r="F34" s="79"/>
      <c r="G34" s="79"/>
      <c r="H34" s="79"/>
      <c r="I34" s="79"/>
      <c r="J34" s="79"/>
      <c r="K34" s="79"/>
      <c r="L34" s="767"/>
      <c r="M34" s="79"/>
      <c r="N34" s="79"/>
      <c r="O34" s="79"/>
      <c r="S34" s="10"/>
      <c r="T34" s="10"/>
      <c r="U34" s="75"/>
      <c r="V34" s="10"/>
      <c r="W34" s="10"/>
      <c r="X34" s="10"/>
      <c r="Y34" s="10"/>
      <c r="Z34" s="10"/>
      <c r="AA34" s="10"/>
      <c r="AB34" s="65" t="s">
        <v>425</v>
      </c>
      <c r="AC34" s="10"/>
      <c r="AD34" s="10"/>
      <c r="AE34" s="10"/>
      <c r="AF34" s="10"/>
      <c r="AG34" s="10"/>
      <c r="AH34" s="10"/>
      <c r="AI34" s="65" t="s">
        <v>425</v>
      </c>
      <c r="AL34" s="66"/>
      <c r="AM34" s="66"/>
      <c r="AN34" s="66"/>
      <c r="AO34" s="66"/>
      <c r="AP34" s="66"/>
      <c r="AQ34" s="34">
        <v>1</v>
      </c>
    </row>
    <row r="35" spans="1:43" ht="14.65" customHeight="1">
      <c r="Q35" s="27"/>
      <c r="R35" s="27"/>
      <c r="S35" s="736"/>
      <c r="T35" s="9"/>
      <c r="U35" s="717"/>
      <c r="V35" s="1295"/>
      <c r="W35" s="1295"/>
      <c r="X35" s="1295"/>
      <c r="Y35" s="1295"/>
      <c r="Z35" s="1295"/>
      <c r="AA35" s="1295"/>
      <c r="AB35" s="1295"/>
      <c r="AC35" s="1295"/>
      <c r="AD35" s="1295"/>
      <c r="AE35" s="1295"/>
      <c r="AF35" s="1295"/>
      <c r="AG35" s="1295"/>
      <c r="AH35" s="1295"/>
      <c r="AI35" s="1295"/>
      <c r="AQ35" s="10">
        <v>14</v>
      </c>
    </row>
    <row r="36" spans="1:43" ht="14.65" customHeight="1">
      <c r="Q36" s="27"/>
      <c r="R36" s="27"/>
      <c r="S36" s="1146" t="s">
        <v>300</v>
      </c>
      <c r="T36" s="1146"/>
      <c r="U36" s="1146"/>
      <c r="V36" s="1146"/>
      <c r="W36" s="1146"/>
      <c r="X36" s="1146"/>
      <c r="Y36" s="1146"/>
      <c r="Z36" s="1146"/>
      <c r="AA36" s="1146"/>
      <c r="AB36" s="1146"/>
      <c r="AC36" s="1146"/>
      <c r="AD36" s="1146"/>
      <c r="AE36" s="1146"/>
      <c r="AF36" s="1146"/>
      <c r="AG36" s="1146"/>
      <c r="AH36" s="1146"/>
      <c r="AI36" s="1146"/>
      <c r="AJ36" s="1146"/>
      <c r="AK36" s="1146" t="s">
        <v>301</v>
      </c>
      <c r="AQ36" s="10">
        <v>14</v>
      </c>
    </row>
    <row r="37" spans="1:43" ht="14.65" customHeight="1">
      <c r="Q37" s="27"/>
      <c r="R37" s="27"/>
      <c r="S37" s="1296" t="s">
        <v>86</v>
      </c>
      <c r="T37" s="1244" t="s">
        <v>426</v>
      </c>
      <c r="U37" s="169"/>
      <c r="V37" s="1297" t="s">
        <v>427</v>
      </c>
      <c r="W37" s="1298"/>
      <c r="X37" s="1298"/>
      <c r="Y37" s="1298"/>
      <c r="Z37" s="1298"/>
      <c r="AA37" s="1299"/>
      <c r="AB37" s="1300" t="s">
        <v>428</v>
      </c>
      <c r="AC37" s="1297" t="s">
        <v>427</v>
      </c>
      <c r="AD37" s="1298"/>
      <c r="AE37" s="1298"/>
      <c r="AF37" s="1298"/>
      <c r="AG37" s="1298"/>
      <c r="AH37" s="1299"/>
      <c r="AI37" s="1300" t="s">
        <v>429</v>
      </c>
      <c r="AJ37" s="1303" t="s">
        <v>430</v>
      </c>
      <c r="AK37" s="1146"/>
      <c r="AQ37" s="10">
        <v>14</v>
      </c>
    </row>
    <row r="38" spans="1:43" ht="35.65" customHeight="1">
      <c r="Q38" s="27"/>
      <c r="R38" s="27"/>
      <c r="S38" s="1296"/>
      <c r="T38" s="1244"/>
      <c r="U38" s="604"/>
      <c r="V38" s="337" t="s">
        <v>486</v>
      </c>
      <c r="W38" s="1128" t="s">
        <v>433</v>
      </c>
      <c r="X38" s="1127"/>
      <c r="Y38" s="1128" t="s">
        <v>434</v>
      </c>
      <c r="Z38" s="1133"/>
      <c r="AA38" s="1127"/>
      <c r="AB38" s="1301"/>
      <c r="AC38" s="337" t="s">
        <v>486</v>
      </c>
      <c r="AD38" s="1128" t="s">
        <v>433</v>
      </c>
      <c r="AE38" s="1127"/>
      <c r="AF38" s="1128" t="s">
        <v>434</v>
      </c>
      <c r="AG38" s="1133"/>
      <c r="AH38" s="1127"/>
      <c r="AI38" s="1301"/>
      <c r="AJ38" s="1304"/>
      <c r="AK38" s="1146"/>
      <c r="AQ38" s="10">
        <v>34</v>
      </c>
    </row>
    <row r="39" spans="1:43" ht="90.4" customHeight="1">
      <c r="A39" s="79"/>
      <c r="B39" s="79" t="s">
        <v>133</v>
      </c>
      <c r="C39" s="79" t="s">
        <v>134</v>
      </c>
      <c r="D39" s="79" t="s">
        <v>135</v>
      </c>
      <c r="E39" s="767" t="s">
        <v>435</v>
      </c>
      <c r="F39" s="767" t="s">
        <v>436</v>
      </c>
      <c r="G39" s="767" t="s">
        <v>437</v>
      </c>
      <c r="H39" s="767"/>
      <c r="I39" s="767" t="s">
        <v>487</v>
      </c>
      <c r="J39" s="767" t="s">
        <v>440</v>
      </c>
      <c r="K39" s="767" t="s">
        <v>488</v>
      </c>
      <c r="L39" s="767" t="s">
        <v>416</v>
      </c>
      <c r="Q39" s="27"/>
      <c r="R39" s="27"/>
      <c r="S39" s="1296"/>
      <c r="T39" s="1244"/>
      <c r="U39" s="170"/>
      <c r="V39" s="337" t="s">
        <v>517</v>
      </c>
      <c r="W39" s="38" t="s">
        <v>518</v>
      </c>
      <c r="X39" s="38" t="s">
        <v>491</v>
      </c>
      <c r="Y39" s="38" t="s">
        <v>444</v>
      </c>
      <c r="Z39" s="1249" t="s">
        <v>445</v>
      </c>
      <c r="AA39" s="1263"/>
      <c r="AB39" s="1302"/>
      <c r="AC39" s="337" t="s">
        <v>517</v>
      </c>
      <c r="AD39" s="38" t="s">
        <v>518</v>
      </c>
      <c r="AE39" s="38" t="s">
        <v>491</v>
      </c>
      <c r="AF39" s="38" t="s">
        <v>444</v>
      </c>
      <c r="AG39" s="1249" t="s">
        <v>445</v>
      </c>
      <c r="AH39" s="1263"/>
      <c r="AI39" s="1302"/>
      <c r="AJ39" s="1305"/>
      <c r="AK39" s="1146"/>
      <c r="AQ39" s="10">
        <v>86</v>
      </c>
    </row>
    <row r="40" spans="1:43" s="200" customFormat="1" ht="11.25" hidden="1" customHeight="1">
      <c r="A40" s="79"/>
      <c r="B40" s="79"/>
      <c r="C40" s="79"/>
      <c r="D40" s="79"/>
      <c r="E40" s="79"/>
      <c r="F40" s="79"/>
      <c r="G40" s="79"/>
      <c r="H40" s="79"/>
      <c r="I40" s="79"/>
      <c r="J40" s="79"/>
      <c r="K40" s="79"/>
      <c r="L40" s="767"/>
      <c r="M40" s="503"/>
      <c r="N40" s="503"/>
      <c r="O40" s="503"/>
      <c r="P40" s="719"/>
      <c r="Q40" s="720"/>
      <c r="R40" s="722">
        <v>1</v>
      </c>
      <c r="S40" s="738" t="s">
        <v>107</v>
      </c>
      <c r="T40" s="723" t="s">
        <v>108</v>
      </c>
      <c r="U40" s="718" t="str">
        <f ca="1">OFFSET(U40,0,-1)</f>
        <v>2</v>
      </c>
      <c r="V40" s="724">
        <f ca="1">OFFSET(V40,0,-1)+1</f>
        <v>3</v>
      </c>
      <c r="W40" s="724">
        <f ca="1">OFFSET(W40,0,-1)+1</f>
        <v>4</v>
      </c>
      <c r="X40" s="724">
        <f ca="1">OFFSET(X40,0,-1)+1</f>
        <v>5</v>
      </c>
      <c r="Y40" s="724">
        <f ca="1">OFFSET(Y40,0,-1)+1</f>
        <v>6</v>
      </c>
      <c r="Z40" s="1294">
        <f ca="1">OFFSET(Z40,0,-1)+1</f>
        <v>7</v>
      </c>
      <c r="AA40" s="1294"/>
      <c r="AB40" s="724">
        <f ca="1">OFFSET(AB40,0,-2)+1</f>
        <v>8</v>
      </c>
      <c r="AC40" s="724">
        <f ca="1">OFFSET(AC40,0,-1)+1</f>
        <v>9</v>
      </c>
      <c r="AD40" s="724">
        <f ca="1">OFFSET(AD40,0,-1)+1</f>
        <v>10</v>
      </c>
      <c r="AE40" s="724">
        <f ca="1">OFFSET(AE40,0,-1)+1</f>
        <v>11</v>
      </c>
      <c r="AF40" s="724">
        <f ca="1">OFFSET(AF40,0,-1)+1</f>
        <v>12</v>
      </c>
      <c r="AG40" s="1294">
        <f ca="1">OFFSET(AG40,0,-1)+1</f>
        <v>13</v>
      </c>
      <c r="AH40" s="1294"/>
      <c r="AI40" s="724">
        <f ca="1">OFFSET(AI40,0,-2)+1</f>
        <v>14</v>
      </c>
      <c r="AJ40" s="718">
        <f ca="1">OFFSET(AJ40,0,-1)</f>
        <v>14</v>
      </c>
      <c r="AK40" s="724">
        <f ca="1">OFFSET(AK40,0,-1)+1</f>
        <v>15</v>
      </c>
      <c r="AL40" s="65"/>
      <c r="AM40" s="65"/>
      <c r="AN40" s="65"/>
      <c r="AO40" s="65"/>
      <c r="AP40" s="65"/>
      <c r="AQ40" s="200">
        <v>0</v>
      </c>
    </row>
    <row r="41" spans="1:43" ht="24" customHeight="1">
      <c r="A41" s="766" t="s">
        <v>266</v>
      </c>
      <c r="B41" s="766"/>
      <c r="C41" s="766"/>
      <c r="D41" s="766"/>
      <c r="E41" s="1283">
        <v>1</v>
      </c>
      <c r="F41" s="766"/>
      <c r="G41" s="766"/>
      <c r="H41" s="766"/>
      <c r="I41" s="766"/>
      <c r="J41" s="766"/>
      <c r="K41" s="766"/>
      <c r="L41" s="767"/>
      <c r="M41" s="423"/>
      <c r="N41" s="423"/>
      <c r="O41" s="423"/>
      <c r="Q41" s="33"/>
      <c r="R41" s="204"/>
      <c r="S41" s="706">
        <f>INDEX(PT_DIFFERENTIATION_NUM_NTAR,MATCH(A41,PT_DIFFERENTIATION_NTAR_ID,0))</f>
        <v>0</v>
      </c>
      <c r="T41" s="64" t="s">
        <v>121</v>
      </c>
      <c r="U41" s="168"/>
      <c r="V41" s="1277"/>
      <c r="W41" s="1278"/>
      <c r="X41" s="1278"/>
      <c r="Y41" s="1278"/>
      <c r="Z41" s="1278"/>
      <c r="AA41" s="1278"/>
      <c r="AB41" s="1279"/>
      <c r="AC41" s="1277" t="str">
        <f>INDEX(PT_DIFFERENTIATION_NTAR,MATCH(A41,PT_DIFFERENTIATION_NTAR_ID,0))</f>
        <v/>
      </c>
      <c r="AD41" s="1278"/>
      <c r="AE41" s="1278"/>
      <c r="AF41" s="1278"/>
      <c r="AG41" s="1278"/>
      <c r="AH41" s="1278"/>
      <c r="AI41" s="1278"/>
      <c r="AJ41" s="1279"/>
      <c r="AK41"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66" t="s">
        <v>266</v>
      </c>
      <c r="B42" s="766" t="s">
        <v>267</v>
      </c>
      <c r="C42" s="766"/>
      <c r="D42" s="766"/>
      <c r="E42" s="1284"/>
      <c r="F42" s="1283">
        <v>1</v>
      </c>
      <c r="G42" s="766"/>
      <c r="H42" s="766"/>
      <c r="I42" s="766"/>
      <c r="J42" s="766"/>
      <c r="K42" s="766"/>
      <c r="L42" s="767"/>
      <c r="M42" s="423"/>
      <c r="N42" s="423"/>
      <c r="O42" s="423"/>
      <c r="P42" s="56"/>
      <c r="Q42" s="201"/>
      <c r="R42" s="202"/>
      <c r="S42" s="706" t="str">
        <f>INDEX(PT_DIFFERENTIATION_NUM_TER,MATCH(B42,PT_DIFFERENTIATION_TER_ID,0))</f>
        <v>.</v>
      </c>
      <c r="T42" s="174" t="s">
        <v>397</v>
      </c>
      <c r="U42" s="168"/>
      <c r="V42" s="1277"/>
      <c r="W42" s="1278"/>
      <c r="X42" s="1278"/>
      <c r="Y42" s="1278"/>
      <c r="Z42" s="1278"/>
      <c r="AA42" s="1278"/>
      <c r="AB42" s="1279"/>
      <c r="AC42" s="1277" t="str">
        <f>INDEX(PT_DIFFERENTIATION_TER,MATCH(B42,PT_DIFFERENTIATION_TER_ID,0))</f>
        <v/>
      </c>
      <c r="AD42" s="1278"/>
      <c r="AE42" s="1278"/>
      <c r="AF42" s="1278"/>
      <c r="AG42" s="1278"/>
      <c r="AH42" s="1278"/>
      <c r="AI42" s="1278"/>
      <c r="AJ42" s="1279"/>
      <c r="AK42" s="726" t="s">
        <v>398</v>
      </c>
      <c r="AM42" s="66"/>
      <c r="AN42" s="66" t="str">
        <f t="shared" si="1"/>
        <v>Территория действия тарифа</v>
      </c>
      <c r="AO42" s="66"/>
      <c r="AP42" s="66"/>
      <c r="AQ42" s="10">
        <v>23</v>
      </c>
    </row>
    <row r="43" spans="1:43" ht="24" customHeight="1">
      <c r="A43" s="766" t="s">
        <v>266</v>
      </c>
      <c r="B43" s="766" t="s">
        <v>267</v>
      </c>
      <c r="C43" s="766" t="s">
        <v>268</v>
      </c>
      <c r="D43" s="766"/>
      <c r="E43" s="1284"/>
      <c r="F43" s="1284"/>
      <c r="G43" s="1283">
        <v>1</v>
      </c>
      <c r="H43" s="766"/>
      <c r="I43" s="766"/>
      <c r="J43" s="766"/>
      <c r="K43" s="766"/>
      <c r="L43" s="767"/>
      <c r="M43" s="423"/>
      <c r="N43" s="423"/>
      <c r="O43" s="423"/>
      <c r="P43" s="203"/>
      <c r="Q43" s="201"/>
      <c r="R43" s="202"/>
      <c r="S43" s="706" t="str">
        <f>INDEX(PT_DIFFERENTIATION_NUM_CS,MATCH(C43,PT_DIFFERENTIATION_CS_ID,0))</f>
        <v>..</v>
      </c>
      <c r="T43" s="175" t="s">
        <v>515</v>
      </c>
      <c r="U43" s="168"/>
      <c r="V43" s="1277"/>
      <c r="W43" s="1278"/>
      <c r="X43" s="1278"/>
      <c r="Y43" s="1278"/>
      <c r="Z43" s="1278"/>
      <c r="AA43" s="1278"/>
      <c r="AB43" s="1279"/>
      <c r="AC43" s="1277" t="str">
        <f>INDEX(PT_DIFFERENTIATION_CS,MATCH(C43,PT_DIFFERENTIATION_CS_ID,0))</f>
        <v/>
      </c>
      <c r="AD43" s="1278"/>
      <c r="AE43" s="1278"/>
      <c r="AF43" s="1278"/>
      <c r="AG43" s="1278"/>
      <c r="AH43" s="1278"/>
      <c r="AI43" s="1278"/>
      <c r="AJ43" s="1279"/>
      <c r="AK43" s="726" t="s">
        <v>516</v>
      </c>
      <c r="AM43" s="66"/>
      <c r="AN43" s="66" t="str">
        <f t="shared" si="1"/>
        <v>Наименование централизованной системы водоотведения</v>
      </c>
      <c r="AO43" s="66"/>
      <c r="AP43" s="66"/>
      <c r="AQ43" s="10">
        <v>23</v>
      </c>
    </row>
    <row r="44" spans="1:43" ht="24" customHeight="1">
      <c r="A44" s="766" t="s">
        <v>266</v>
      </c>
      <c r="B44" s="766" t="s">
        <v>267</v>
      </c>
      <c r="C44" s="766" t="s">
        <v>268</v>
      </c>
      <c r="D44" s="766" t="s">
        <v>519</v>
      </c>
      <c r="E44" s="1284"/>
      <c r="F44" s="1284"/>
      <c r="G44" s="1284"/>
      <c r="H44" s="1284"/>
      <c r="I44" s="1285" t="str">
        <f>S43&amp;".1"</f>
        <v>...1</v>
      </c>
      <c r="J44" s="766"/>
      <c r="K44" s="766"/>
      <c r="L44" s="767"/>
      <c r="P44" s="1287">
        <v>1</v>
      </c>
      <c r="Q44" s="119"/>
      <c r="R44" s="205"/>
      <c r="S44" s="706" t="str">
        <f>$I44</f>
        <v>...1</v>
      </c>
      <c r="T44" s="161" t="s">
        <v>480</v>
      </c>
      <c r="U44" s="168"/>
      <c r="V44" s="1351"/>
      <c r="W44" s="1352"/>
      <c r="X44" s="1352"/>
      <c r="Y44" s="1352"/>
      <c r="Z44" s="1352"/>
      <c r="AA44" s="1352"/>
      <c r="AB44" s="1353"/>
      <c r="AC44" s="1354"/>
      <c r="AD44" s="1355"/>
      <c r="AE44" s="1355"/>
      <c r="AF44" s="1355"/>
      <c r="AG44" s="1355"/>
      <c r="AH44" s="1355"/>
      <c r="AI44" s="1355"/>
      <c r="AJ44" s="1356"/>
      <c r="AK44" s="726" t="s">
        <v>481</v>
      </c>
      <c r="AM44" s="66"/>
      <c r="AN44" s="66" t="str">
        <f t="shared" si="1"/>
        <v>Наименование признака дифференциации</v>
      </c>
      <c r="AO44" s="66"/>
      <c r="AP44" s="66"/>
      <c r="AQ44" s="10">
        <v>23</v>
      </c>
    </row>
    <row r="45" spans="1:43" ht="24" customHeight="1">
      <c r="A45" s="766" t="s">
        <v>266</v>
      </c>
      <c r="B45" s="766" t="s">
        <v>267</v>
      </c>
      <c r="C45" s="766" t="s">
        <v>268</v>
      </c>
      <c r="D45" s="766" t="s">
        <v>519</v>
      </c>
      <c r="E45" s="1284"/>
      <c r="F45" s="1284"/>
      <c r="G45" s="1284"/>
      <c r="H45" s="1284"/>
      <c r="I45" s="1286"/>
      <c r="J45" s="1285" t="str">
        <f>I44&amp;".1"</f>
        <v>...1.1</v>
      </c>
      <c r="K45" s="766"/>
      <c r="L45" s="767" t="s">
        <v>406</v>
      </c>
      <c r="P45" s="1287"/>
      <c r="Q45" s="1287">
        <v>1</v>
      </c>
      <c r="R45" s="206"/>
      <c r="S45" s="706" t="str">
        <f>$J45</f>
        <v>...1.1</v>
      </c>
      <c r="T45" s="162" t="s">
        <v>407</v>
      </c>
      <c r="U45" s="168"/>
      <c r="V45" s="1271"/>
      <c r="W45" s="1272"/>
      <c r="X45" s="1272"/>
      <c r="Y45" s="1272"/>
      <c r="Z45" s="1272"/>
      <c r="AA45" s="1272"/>
      <c r="AB45" s="1273"/>
      <c r="AC45" s="1271"/>
      <c r="AD45" s="1272"/>
      <c r="AE45" s="1272"/>
      <c r="AF45" s="1272"/>
      <c r="AG45" s="1272"/>
      <c r="AH45" s="1272"/>
      <c r="AI45" s="1272"/>
      <c r="AJ45" s="1273"/>
      <c r="AK45" s="750" t="s">
        <v>482</v>
      </c>
      <c r="AM45" s="66"/>
      <c r="AN45" s="66" t="str">
        <f t="shared" si="1"/>
        <v>Группа потребителей</v>
      </c>
      <c r="AO45" s="66"/>
      <c r="AP45" s="66"/>
      <c r="AQ45" s="10">
        <v>23</v>
      </c>
    </row>
    <row r="46" spans="1:43" ht="24" customHeight="1">
      <c r="A46" s="766" t="s">
        <v>266</v>
      </c>
      <c r="B46" s="766" t="s">
        <v>267</v>
      </c>
      <c r="C46" s="766" t="s">
        <v>268</v>
      </c>
      <c r="D46" s="766" t="s">
        <v>519</v>
      </c>
      <c r="E46" s="1284"/>
      <c r="F46" s="1284"/>
      <c r="G46" s="1284"/>
      <c r="H46" s="1284"/>
      <c r="I46" s="1286"/>
      <c r="J46" s="1286"/>
      <c r="K46" s="1285" t="str">
        <f>J45&amp;".1"</f>
        <v>...1.1.1</v>
      </c>
      <c r="L46" s="767"/>
      <c r="P46" s="1287"/>
      <c r="Q46" s="1287"/>
      <c r="R46" s="206">
        <v>1</v>
      </c>
      <c r="S46" s="706" t="str">
        <f>$K46</f>
        <v>...1.1.1</v>
      </c>
      <c r="T46" s="810"/>
      <c r="U46" s="168"/>
      <c r="V46" s="365"/>
      <c r="W46" s="365"/>
      <c r="X46" s="765"/>
      <c r="Y46" s="1281"/>
      <c r="Z46" s="1280" t="s">
        <v>64</v>
      </c>
      <c r="AA46" s="1281"/>
      <c r="AB46" s="1280" t="s">
        <v>64</v>
      </c>
      <c r="AC46" s="303"/>
      <c r="AD46" s="303"/>
      <c r="AE46" s="725"/>
      <c r="AF46" s="1288"/>
      <c r="AG46" s="1156" t="s">
        <v>64</v>
      </c>
      <c r="AH46" s="1290"/>
      <c r="AI46" s="1156" t="s">
        <v>19</v>
      </c>
      <c r="AJ46" s="811"/>
      <c r="AK46"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66" t="s">
        <v>266</v>
      </c>
      <c r="B47" s="766" t="s">
        <v>267</v>
      </c>
      <c r="C47" s="766" t="s">
        <v>268</v>
      </c>
      <c r="D47" s="766" t="s">
        <v>519</v>
      </c>
      <c r="E47" s="1284"/>
      <c r="F47" s="1284"/>
      <c r="G47" s="1284"/>
      <c r="H47" s="1284"/>
      <c r="I47" s="1286"/>
      <c r="J47" s="1286"/>
      <c r="K47" s="1285"/>
      <c r="L47" s="767"/>
      <c r="P47" s="1287"/>
      <c r="Q47" s="1287"/>
      <c r="R47" s="206"/>
      <c r="S47" s="62"/>
      <c r="T47" s="168"/>
      <c r="U47" s="168"/>
      <c r="V47" s="365"/>
      <c r="W47" s="365"/>
      <c r="X47" s="189" t="str">
        <f>Y46&amp;"-"&amp;AA46</f>
        <v>-</v>
      </c>
      <c r="Y47" s="1280"/>
      <c r="Z47" s="1280"/>
      <c r="AA47" s="1280"/>
      <c r="AB47" s="1280"/>
      <c r="AC47" s="188"/>
      <c r="AD47" s="188"/>
      <c r="AE47" s="189" t="str">
        <f>AF46&amp;"-"&amp;AH46</f>
        <v>-</v>
      </c>
      <c r="AF47" s="1289"/>
      <c r="AG47" s="1156"/>
      <c r="AH47" s="1291"/>
      <c r="AI47" s="1156"/>
      <c r="AJ47" s="385"/>
      <c r="AK47" s="1357"/>
      <c r="AM47" s="66"/>
      <c r="AN47" s="66" t="str">
        <f t="shared" si="1"/>
        <v/>
      </c>
      <c r="AO47" s="66"/>
      <c r="AP47" s="66"/>
      <c r="AQ47" s="10">
        <v>0</v>
      </c>
    </row>
    <row r="48" spans="1:43" ht="21" customHeight="1">
      <c r="A48" s="766" t="s">
        <v>266</v>
      </c>
      <c r="B48" s="766" t="s">
        <v>267</v>
      </c>
      <c r="C48" s="766" t="s">
        <v>268</v>
      </c>
      <c r="D48" s="766" t="s">
        <v>519</v>
      </c>
      <c r="E48" s="1284"/>
      <c r="F48" s="1284"/>
      <c r="G48" s="1284"/>
      <c r="H48" s="1284"/>
      <c r="I48" s="1286"/>
      <c r="J48" s="1285"/>
      <c r="K48" s="766"/>
      <c r="L48" s="767"/>
      <c r="P48" s="1287"/>
      <c r="Q48" s="1287"/>
      <c r="R48" s="205"/>
      <c r="S48" s="739"/>
      <c r="T48" s="163" t="s">
        <v>483</v>
      </c>
      <c r="U48" s="210"/>
      <c r="V48" s="210"/>
      <c r="W48" s="210"/>
      <c r="X48" s="210"/>
      <c r="Y48" s="210"/>
      <c r="Z48" s="210"/>
      <c r="AA48" s="210"/>
      <c r="AB48" s="210"/>
      <c r="AC48" s="210"/>
      <c r="AD48" s="210"/>
      <c r="AE48" s="210"/>
      <c r="AF48" s="210"/>
      <c r="AG48" s="210"/>
      <c r="AH48" s="210"/>
      <c r="AI48" s="210"/>
      <c r="AJ48" s="210"/>
      <c r="AK48" s="726" t="s">
        <v>484</v>
      </c>
      <c r="AM48" s="66"/>
      <c r="AN48" s="66" t="str">
        <f t="shared" si="1"/>
        <v>Добавить значение признака дифференциации</v>
      </c>
      <c r="AO48" s="66"/>
      <c r="AP48" s="66"/>
      <c r="AQ48" s="10">
        <v>20</v>
      </c>
    </row>
    <row r="49" spans="1:43" ht="21.95" customHeight="1">
      <c r="A49" s="766" t="s">
        <v>266</v>
      </c>
      <c r="B49" s="766" t="s">
        <v>267</v>
      </c>
      <c r="C49" s="766" t="s">
        <v>268</v>
      </c>
      <c r="D49" s="766" t="s">
        <v>519</v>
      </c>
      <c r="E49" s="1284"/>
      <c r="F49" s="1284"/>
      <c r="G49" s="1284"/>
      <c r="H49" s="1284"/>
      <c r="I49" s="1285"/>
      <c r="J49" s="766"/>
      <c r="K49" s="766"/>
      <c r="L49" s="767"/>
      <c r="P49" s="1287"/>
      <c r="Q49" s="119"/>
      <c r="R49" s="205"/>
      <c r="S49" s="739"/>
      <c r="T49" s="208" t="s">
        <v>412</v>
      </c>
      <c r="U49" s="210"/>
      <c r="V49" s="210"/>
      <c r="W49" s="210"/>
      <c r="X49" s="210"/>
      <c r="Y49" s="210"/>
      <c r="Z49" s="210"/>
      <c r="AA49" s="210"/>
      <c r="AB49" s="209"/>
      <c r="AC49" s="210"/>
      <c r="AD49" s="210"/>
      <c r="AE49" s="210"/>
      <c r="AF49" s="210"/>
      <c r="AG49" s="210"/>
      <c r="AH49" s="210"/>
      <c r="AI49" s="209"/>
      <c r="AJ49" s="210"/>
      <c r="AK49" s="812"/>
      <c r="AM49" s="66"/>
      <c r="AN49" s="66" t="str">
        <f t="shared" si="1"/>
        <v>Добавить группу потребителей</v>
      </c>
      <c r="AO49" s="66"/>
      <c r="AP49" s="66"/>
      <c r="AQ49" s="10">
        <v>21</v>
      </c>
    </row>
    <row r="50" spans="1:43" ht="21.95" customHeight="1">
      <c r="A50" s="766" t="s">
        <v>266</v>
      </c>
      <c r="B50" s="766" t="s">
        <v>267</v>
      </c>
      <c r="C50" s="766" t="s">
        <v>268</v>
      </c>
      <c r="D50" s="766" t="s">
        <v>519</v>
      </c>
      <c r="E50" s="1284"/>
      <c r="F50" s="1284"/>
      <c r="G50" s="1284"/>
      <c r="H50" s="1283"/>
      <c r="I50" s="766"/>
      <c r="J50" s="766"/>
      <c r="K50" s="766"/>
      <c r="L50" s="767"/>
      <c r="M50" s="423"/>
      <c r="N50" s="423"/>
      <c r="O50" s="60"/>
      <c r="P50" s="33"/>
      <c r="Q50" s="213"/>
      <c r="R50" s="204"/>
      <c r="S50" s="739"/>
      <c r="T50" s="104" t="s">
        <v>485</v>
      </c>
      <c r="U50" s="210"/>
      <c r="V50" s="210"/>
      <c r="W50" s="210"/>
      <c r="X50" s="210"/>
      <c r="Y50" s="210"/>
      <c r="Z50" s="210"/>
      <c r="AA50" s="210"/>
      <c r="AB50" s="209"/>
      <c r="AC50" s="210"/>
      <c r="AD50" s="210"/>
      <c r="AE50" s="210"/>
      <c r="AF50" s="210"/>
      <c r="AG50" s="210"/>
      <c r="AH50" s="210"/>
      <c r="AI50" s="209"/>
      <c r="AJ50" s="210"/>
      <c r="AK50" s="171"/>
      <c r="AM50" s="66"/>
      <c r="AN50" s="66" t="str">
        <f t="shared" si="1"/>
        <v>Добавить наименование признака дифференциации</v>
      </c>
      <c r="AO50" s="66"/>
      <c r="AP50" s="66"/>
      <c r="AQ50" s="10">
        <v>21</v>
      </c>
    </row>
    <row r="51" spans="1:43" s="65" customFormat="1" ht="0" hidden="1" customHeight="1">
      <c r="A51" s="142" t="s">
        <v>266</v>
      </c>
      <c r="B51" s="142" t="s">
        <v>267</v>
      </c>
      <c r="C51" s="142"/>
      <c r="D51" s="142"/>
      <c r="E51" s="1284"/>
      <c r="F51" s="1283"/>
      <c r="G51" s="142"/>
      <c r="H51" s="142"/>
      <c r="I51" s="142"/>
      <c r="J51" s="142"/>
      <c r="K51" s="142"/>
      <c r="L51" s="343"/>
      <c r="M51" s="756"/>
      <c r="N51" s="756"/>
      <c r="P51" s="101"/>
      <c r="Q51" s="752"/>
      <c r="R51" s="101"/>
      <c r="S51" s="757"/>
      <c r="T51" s="759" t="s">
        <v>231</v>
      </c>
      <c r="U51" s="310"/>
      <c r="V51" s="310"/>
      <c r="W51" s="310"/>
      <c r="X51" s="310"/>
      <c r="Y51" s="310"/>
      <c r="Z51" s="310"/>
      <c r="AA51" s="310"/>
      <c r="AB51" s="310"/>
      <c r="AC51" s="310"/>
      <c r="AD51" s="310"/>
      <c r="AE51" s="310"/>
      <c r="AF51" s="310"/>
      <c r="AG51" s="310"/>
      <c r="AH51" s="310"/>
      <c r="AI51" s="310"/>
      <c r="AJ51" s="310"/>
      <c r="AK51" s="310"/>
      <c r="AM51" s="66"/>
      <c r="AN51" s="66" t="str">
        <f t="shared" si="1"/>
        <v>Добавить централизованную систему для дифференциации</v>
      </c>
      <c r="AO51" s="66"/>
      <c r="AP51" s="66"/>
      <c r="AQ51" s="65">
        <v>0</v>
      </c>
    </row>
    <row r="52" spans="1:43" s="65" customFormat="1" ht="0" hidden="1" customHeight="1">
      <c r="A52" s="142" t="s">
        <v>266</v>
      </c>
      <c r="B52" s="142"/>
      <c r="C52" s="142"/>
      <c r="D52" s="142"/>
      <c r="E52" s="1283"/>
      <c r="F52" s="142"/>
      <c r="G52" s="142"/>
      <c r="H52" s="142"/>
      <c r="I52" s="142"/>
      <c r="J52" s="142"/>
      <c r="K52" s="142"/>
      <c r="L52" s="343"/>
      <c r="M52" s="756"/>
      <c r="N52" s="756"/>
      <c r="P52" s="101"/>
      <c r="Q52" s="752"/>
      <c r="R52" s="101"/>
      <c r="S52" s="757"/>
      <c r="T52" s="759" t="s">
        <v>232</v>
      </c>
      <c r="U52" s="310"/>
      <c r="V52" s="310"/>
      <c r="W52" s="310"/>
      <c r="X52" s="310"/>
      <c r="Y52" s="310"/>
      <c r="Z52" s="310"/>
      <c r="AA52" s="310"/>
      <c r="AB52" s="310"/>
      <c r="AC52" s="310"/>
      <c r="AD52" s="310"/>
      <c r="AE52" s="310"/>
      <c r="AF52" s="310"/>
      <c r="AG52" s="310"/>
      <c r="AH52" s="310"/>
      <c r="AI52" s="310"/>
      <c r="AJ52" s="310"/>
      <c r="AK52" s="310"/>
      <c r="AM52" s="66"/>
      <c r="AN52" s="66" t="str">
        <f t="shared" si="1"/>
        <v>Добавить территорию для дифференциации</v>
      </c>
      <c r="AO52" s="66"/>
      <c r="AP52" s="66"/>
      <c r="AQ52" s="65">
        <v>0</v>
      </c>
    </row>
    <row r="53" spans="1:43" s="65" customFormat="1" ht="0" hidden="1" customHeight="1">
      <c r="A53" s="142"/>
      <c r="B53" s="142"/>
      <c r="C53" s="142"/>
      <c r="D53" s="142"/>
      <c r="E53" s="142"/>
      <c r="F53" s="142"/>
      <c r="G53" s="142"/>
      <c r="H53" s="142"/>
      <c r="I53" s="142"/>
      <c r="J53" s="142"/>
      <c r="K53" s="142"/>
      <c r="L53" s="343"/>
      <c r="M53" s="756"/>
      <c r="N53" s="756"/>
      <c r="P53" s="101"/>
      <c r="Q53" s="752"/>
      <c r="R53" s="101"/>
      <c r="S53" s="757"/>
      <c r="T53" s="759" t="s">
        <v>233</v>
      </c>
      <c r="U53" s="310"/>
      <c r="V53" s="310"/>
      <c r="W53" s="310"/>
      <c r="X53" s="310"/>
      <c r="Y53" s="310"/>
      <c r="Z53" s="310"/>
      <c r="AA53" s="310"/>
      <c r="AB53" s="310"/>
      <c r="AC53" s="310"/>
      <c r="AD53" s="310"/>
      <c r="AE53" s="310"/>
      <c r="AF53" s="310"/>
      <c r="AG53" s="310"/>
      <c r="AH53" s="310"/>
      <c r="AI53" s="310"/>
      <c r="AJ53" s="310"/>
      <c r="AK53" s="310"/>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5"/>
      <c r="T55" s="1282"/>
      <c r="U55" s="1282"/>
      <c r="V55" s="1282"/>
      <c r="W55" s="1282"/>
      <c r="X55" s="1282"/>
      <c r="Y55" s="1282"/>
      <c r="Z55" s="1282"/>
      <c r="AA55" s="1282"/>
      <c r="AB55" s="1282"/>
      <c r="AC55" s="1282"/>
      <c r="AD55" s="1282"/>
      <c r="AE55" s="1282"/>
      <c r="AF55" s="1282"/>
      <c r="AG55" s="1282"/>
      <c r="AH55" s="1282"/>
      <c r="AI55" s="1282"/>
      <c r="AJ55" s="1282"/>
      <c r="AK55" s="1282"/>
      <c r="AQ55" s="10">
        <v>14</v>
      </c>
    </row>
    <row r="56" spans="1:43" ht="14.65" customHeight="1">
      <c r="O56" s="60"/>
      <c r="AQ56" s="10">
        <v>14</v>
      </c>
    </row>
    <row r="57" spans="1:43" ht="14.65" customHeight="1">
      <c r="O57" s="60"/>
      <c r="S57" s="195"/>
      <c r="T57" s="1282"/>
      <c r="U57" s="1282"/>
      <c r="V57" s="1282"/>
      <c r="W57" s="1282"/>
      <c r="X57" s="1282"/>
      <c r="Y57" s="1282"/>
      <c r="Z57" s="1282"/>
      <c r="AA57" s="1282"/>
      <c r="AB57" s="1282"/>
      <c r="AC57" s="1282"/>
      <c r="AD57" s="1282"/>
      <c r="AE57" s="1282"/>
      <c r="AF57" s="1282"/>
      <c r="AG57" s="1282"/>
      <c r="AH57" s="1282"/>
      <c r="AI57" s="1282"/>
      <c r="AJ57" s="1282"/>
      <c r="AK57" s="1282"/>
      <c r="AQ57" s="10">
        <v>14</v>
      </c>
    </row>
    <row r="58" spans="1:43" ht="22.5" hidden="1" customHeight="1">
      <c r="A58" s="60" t="s">
        <v>80</v>
      </c>
      <c r="B58" s="60">
        <v>0</v>
      </c>
      <c r="C58" s="60">
        <v>0</v>
      </c>
      <c r="D58" s="60">
        <v>0</v>
      </c>
      <c r="E58" s="60">
        <v>0</v>
      </c>
      <c r="F58" s="60">
        <v>0</v>
      </c>
      <c r="G58" s="60">
        <v>0</v>
      </c>
      <c r="H58" s="60">
        <v>0</v>
      </c>
      <c r="I58" s="60">
        <v>0</v>
      </c>
      <c r="J58" s="60">
        <v>0</v>
      </c>
      <c r="K58" s="60">
        <v>0</v>
      </c>
      <c r="L58" s="298">
        <v>0</v>
      </c>
      <c r="M58" s="503">
        <v>0</v>
      </c>
      <c r="N58" s="503">
        <v>0</v>
      </c>
      <c r="O58" s="503">
        <v>0</v>
      </c>
      <c r="P58" s="32">
        <v>3</v>
      </c>
      <c r="Q58" s="28">
        <v>3</v>
      </c>
      <c r="R58" s="28">
        <v>3</v>
      </c>
      <c r="S58" s="339">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8" hidden="1" customWidth="1"/>
    <col min="13" max="14" width="12.28515625" style="503" hidden="1" customWidth="1"/>
    <col min="15" max="15" width="23.42578125" style="503" hidden="1" customWidth="1"/>
    <col min="16" max="16" width="3" style="32" customWidth="1"/>
    <col min="17" max="18" width="3" style="28" customWidth="1"/>
    <col min="19" max="19" width="12" style="339"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66"/>
      <c r="B2" s="766"/>
      <c r="C2" s="766"/>
      <c r="D2" s="766"/>
      <c r="E2" s="1283">
        <v>1</v>
      </c>
      <c r="F2" s="766"/>
      <c r="G2" s="766"/>
      <c r="H2" s="766"/>
      <c r="I2" s="766"/>
      <c r="J2" s="766"/>
      <c r="K2" s="766"/>
      <c r="L2" s="767"/>
      <c r="M2" s="423"/>
      <c r="N2" s="423"/>
      <c r="O2" s="423"/>
      <c r="Q2" s="33"/>
      <c r="R2" s="204"/>
      <c r="S2" s="706" t="e">
        <f>INDEX(PT_DIFFERENTIATION_NUM_NTAR,MATCH(A2,PT_DIFFERENTIATION_NTAR_ID,0))</f>
        <v>#N/A</v>
      </c>
      <c r="T2" s="64" t="s">
        <v>121</v>
      </c>
      <c r="U2" s="168"/>
      <c r="V2" s="1277"/>
      <c r="W2" s="1278"/>
      <c r="X2" s="1278"/>
      <c r="Y2" s="1278"/>
      <c r="Z2" s="1278"/>
      <c r="AA2" s="1278"/>
      <c r="AB2" s="1279"/>
      <c r="AC2" s="1277" t="e">
        <f>INDEX(PT_DIFFERENTIATION_NTAR,MATCH(A2,PT_DIFFERENTIATION_NTAR_ID,0))</f>
        <v>#N/A</v>
      </c>
      <c r="AD2" s="1278"/>
      <c r="AE2" s="1278"/>
      <c r="AF2" s="1278"/>
      <c r="AG2" s="1278"/>
      <c r="AH2" s="1278"/>
      <c r="AI2" s="1278"/>
      <c r="AJ2" s="1279"/>
      <c r="AK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66"/>
      <c r="B3" s="766"/>
      <c r="C3" s="766"/>
      <c r="D3" s="766"/>
      <c r="E3" s="1284"/>
      <c r="F3" s="1283">
        <v>1</v>
      </c>
      <c r="G3" s="766"/>
      <c r="H3" s="766"/>
      <c r="I3" s="766"/>
      <c r="J3" s="766"/>
      <c r="K3" s="766"/>
      <c r="L3" s="767"/>
      <c r="M3" s="423"/>
      <c r="N3" s="423"/>
      <c r="O3" s="423"/>
      <c r="P3" s="56"/>
      <c r="Q3" s="201"/>
      <c r="R3" s="202"/>
      <c r="S3" s="706" t="e">
        <f>INDEX(PT_DIFFERENTIATION_NUM_TER,MATCH(B3,PT_DIFFERENTIATION_TER_ID,0))</f>
        <v>#N/A</v>
      </c>
      <c r="T3" s="174" t="s">
        <v>397</v>
      </c>
      <c r="U3" s="168"/>
      <c r="V3" s="1277"/>
      <c r="W3" s="1278"/>
      <c r="X3" s="1278"/>
      <c r="Y3" s="1278"/>
      <c r="Z3" s="1278"/>
      <c r="AA3" s="1278"/>
      <c r="AB3" s="1279"/>
      <c r="AC3" s="1277" t="e">
        <f>INDEX(PT_DIFFERENTIATION_TER,MATCH(B3,PT_DIFFERENTIATION_TER_ID,0))</f>
        <v>#N/A</v>
      </c>
      <c r="AD3" s="1278"/>
      <c r="AE3" s="1278"/>
      <c r="AF3" s="1278"/>
      <c r="AG3" s="1278"/>
      <c r="AH3" s="1278"/>
      <c r="AI3" s="1278"/>
      <c r="AJ3" s="1279"/>
      <c r="AK3" s="726" t="s">
        <v>398</v>
      </c>
      <c r="AM3" s="66"/>
      <c r="AN3" s="66" t="str">
        <f t="shared" si="0"/>
        <v>Территория действия тарифа</v>
      </c>
      <c r="AO3" s="66"/>
      <c r="AP3" s="66"/>
      <c r="AQ3" s="10">
        <v>0</v>
      </c>
    </row>
    <row r="4" spans="1:43" ht="23.25" hidden="1" customHeight="1">
      <c r="A4" s="766"/>
      <c r="B4" s="766"/>
      <c r="C4" s="766"/>
      <c r="D4" s="766"/>
      <c r="E4" s="1284"/>
      <c r="F4" s="1284"/>
      <c r="G4" s="1283">
        <v>1</v>
      </c>
      <c r="H4" s="766"/>
      <c r="I4" s="766"/>
      <c r="J4" s="766"/>
      <c r="K4" s="766"/>
      <c r="L4" s="767"/>
      <c r="M4" s="423"/>
      <c r="N4" s="423"/>
      <c r="O4" s="423"/>
      <c r="P4" s="203"/>
      <c r="Q4" s="201"/>
      <c r="R4" s="202"/>
      <c r="S4" s="706" t="e">
        <f>INDEX(PT_DIFFERENTIATION_NUM_CS,MATCH(C4,PT_DIFFERENTIATION_CS_ID,0))</f>
        <v>#N/A</v>
      </c>
      <c r="T4" s="175" t="s">
        <v>515</v>
      </c>
      <c r="U4" s="168"/>
      <c r="V4" s="1277"/>
      <c r="W4" s="1278"/>
      <c r="X4" s="1278"/>
      <c r="Y4" s="1278"/>
      <c r="Z4" s="1278"/>
      <c r="AA4" s="1278"/>
      <c r="AB4" s="1279"/>
      <c r="AC4" s="1277" t="e">
        <f>INDEX(PT_DIFFERENTIATION_CS,MATCH(C4,PT_DIFFERENTIATION_CS_ID,0))</f>
        <v>#N/A</v>
      </c>
      <c r="AD4" s="1278"/>
      <c r="AE4" s="1278"/>
      <c r="AF4" s="1278"/>
      <c r="AG4" s="1278"/>
      <c r="AH4" s="1278"/>
      <c r="AI4" s="1278"/>
      <c r="AJ4" s="1279"/>
      <c r="AK4" s="726" t="s">
        <v>516</v>
      </c>
      <c r="AM4" s="66"/>
      <c r="AN4" s="66" t="str">
        <f t="shared" si="0"/>
        <v>Наименование централизованной системы водоотведения</v>
      </c>
      <c r="AO4" s="66"/>
      <c r="AP4" s="66"/>
      <c r="AQ4" s="10">
        <v>0</v>
      </c>
    </row>
    <row r="5" spans="1:43" ht="23.25" hidden="1" customHeight="1">
      <c r="A5" s="766"/>
      <c r="B5" s="766"/>
      <c r="C5" s="766"/>
      <c r="D5" s="766"/>
      <c r="E5" s="1284"/>
      <c r="F5" s="1284"/>
      <c r="G5" s="1284"/>
      <c r="H5" s="1284"/>
      <c r="I5" s="1285" t="e">
        <f>S4&amp;".1"</f>
        <v>#N/A</v>
      </c>
      <c r="J5" s="766"/>
      <c r="K5" s="766"/>
      <c r="L5" s="767"/>
      <c r="P5" s="1287">
        <v>1</v>
      </c>
      <c r="Q5" s="119"/>
      <c r="R5" s="205"/>
      <c r="S5" s="706" t="e">
        <f>$I5</f>
        <v>#N/A</v>
      </c>
      <c r="T5" s="161" t="s">
        <v>480</v>
      </c>
      <c r="U5" s="168"/>
      <c r="V5" s="1351"/>
      <c r="W5" s="1352"/>
      <c r="X5" s="1352"/>
      <c r="Y5" s="1352"/>
      <c r="Z5" s="1352"/>
      <c r="AA5" s="1352"/>
      <c r="AB5" s="1353"/>
      <c r="AC5" s="1354"/>
      <c r="AD5" s="1355"/>
      <c r="AE5" s="1355"/>
      <c r="AF5" s="1355"/>
      <c r="AG5" s="1355"/>
      <c r="AH5" s="1355"/>
      <c r="AI5" s="1355"/>
      <c r="AJ5" s="1356"/>
      <c r="AK5" s="726" t="s">
        <v>481</v>
      </c>
      <c r="AM5" s="66"/>
      <c r="AN5" s="66" t="str">
        <f t="shared" si="0"/>
        <v>Наименование признака дифференциации</v>
      </c>
      <c r="AO5" s="66"/>
      <c r="AP5" s="66"/>
      <c r="AQ5" s="10">
        <v>0</v>
      </c>
    </row>
    <row r="6" spans="1:43" ht="23.25" hidden="1" customHeight="1">
      <c r="A6" s="766"/>
      <c r="B6" s="766"/>
      <c r="C6" s="766"/>
      <c r="D6" s="766"/>
      <c r="E6" s="1284"/>
      <c r="F6" s="1284"/>
      <c r="G6" s="1284"/>
      <c r="H6" s="1284"/>
      <c r="I6" s="1286"/>
      <c r="J6" s="1285" t="e">
        <f>I5&amp;".1"</f>
        <v>#N/A</v>
      </c>
      <c r="K6" s="766"/>
      <c r="L6" s="767" t="s">
        <v>406</v>
      </c>
      <c r="P6" s="1287"/>
      <c r="Q6" s="1287">
        <v>1</v>
      </c>
      <c r="R6" s="206"/>
      <c r="S6" s="706" t="e">
        <f>$J6</f>
        <v>#N/A</v>
      </c>
      <c r="T6" s="162" t="s">
        <v>407</v>
      </c>
      <c r="U6" s="168"/>
      <c r="V6" s="1271"/>
      <c r="W6" s="1272"/>
      <c r="X6" s="1272"/>
      <c r="Y6" s="1272"/>
      <c r="Z6" s="1272"/>
      <c r="AA6" s="1272"/>
      <c r="AB6" s="1273"/>
      <c r="AC6" s="1271"/>
      <c r="AD6" s="1272"/>
      <c r="AE6" s="1272"/>
      <c r="AF6" s="1272"/>
      <c r="AG6" s="1272"/>
      <c r="AH6" s="1272"/>
      <c r="AI6" s="1272"/>
      <c r="AJ6" s="1273"/>
      <c r="AK6" s="750" t="s">
        <v>482</v>
      </c>
      <c r="AM6" s="66"/>
      <c r="AN6" s="66" t="str">
        <f t="shared" si="0"/>
        <v>Группа потребителей</v>
      </c>
      <c r="AO6" s="66"/>
      <c r="AP6" s="66"/>
      <c r="AQ6" s="10">
        <v>0</v>
      </c>
    </row>
    <row r="7" spans="1:43" ht="23.25" hidden="1" customHeight="1">
      <c r="A7" s="766"/>
      <c r="B7" s="766"/>
      <c r="C7" s="766"/>
      <c r="D7" s="766"/>
      <c r="E7" s="1284"/>
      <c r="F7" s="1284"/>
      <c r="G7" s="1284"/>
      <c r="H7" s="1284"/>
      <c r="I7" s="1286"/>
      <c r="J7" s="1286"/>
      <c r="K7" s="1285" t="e">
        <f>J6&amp;".1"</f>
        <v>#N/A</v>
      </c>
      <c r="L7" s="767"/>
      <c r="P7" s="1287"/>
      <c r="Q7" s="1287"/>
      <c r="R7" s="206">
        <v>1</v>
      </c>
      <c r="S7" s="706" t="e">
        <f>$K7</f>
        <v>#N/A</v>
      </c>
      <c r="T7" s="810"/>
      <c r="U7" s="168"/>
      <c r="V7" s="303"/>
      <c r="W7" s="303"/>
      <c r="X7" s="725"/>
      <c r="Y7" s="1288"/>
      <c r="Z7" s="1156" t="s">
        <v>64</v>
      </c>
      <c r="AA7" s="1288"/>
      <c r="AB7" s="1156" t="s">
        <v>64</v>
      </c>
      <c r="AC7" s="303"/>
      <c r="AD7" s="303"/>
      <c r="AE7" s="725"/>
      <c r="AF7" s="1288"/>
      <c r="AG7" s="1156" t="s">
        <v>64</v>
      </c>
      <c r="AH7" s="1290"/>
      <c r="AI7" s="1156" t="s">
        <v>64</v>
      </c>
      <c r="AJ7" s="811"/>
      <c r="AK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66"/>
      <c r="B8" s="766"/>
      <c r="C8" s="766"/>
      <c r="D8" s="766"/>
      <c r="E8" s="1284"/>
      <c r="F8" s="1284"/>
      <c r="G8" s="1284"/>
      <c r="H8" s="1284"/>
      <c r="I8" s="1286"/>
      <c r="J8" s="1286"/>
      <c r="K8" s="1285"/>
      <c r="L8" s="767"/>
      <c r="P8" s="1287"/>
      <c r="Q8" s="1287"/>
      <c r="R8" s="206"/>
      <c r="S8" s="62"/>
      <c r="T8" s="168"/>
      <c r="U8" s="168"/>
      <c r="V8" s="188"/>
      <c r="W8" s="188"/>
      <c r="X8" s="189" t="str">
        <f>Y7&amp;"-"&amp;AA7</f>
        <v>-</v>
      </c>
      <c r="Y8" s="1289"/>
      <c r="Z8" s="1156"/>
      <c r="AA8" s="1289"/>
      <c r="AB8" s="1156"/>
      <c r="AC8" s="188"/>
      <c r="AD8" s="188"/>
      <c r="AE8" s="189" t="str">
        <f>AF7&amp;"-"&amp;AH7</f>
        <v>-</v>
      </c>
      <c r="AF8" s="1289"/>
      <c r="AG8" s="1156"/>
      <c r="AH8" s="1291"/>
      <c r="AI8" s="1156"/>
      <c r="AJ8" s="385"/>
      <c r="AK8" s="1357"/>
      <c r="AM8" s="66"/>
      <c r="AN8" s="66" t="str">
        <f t="shared" si="0"/>
        <v/>
      </c>
      <c r="AO8" s="66"/>
      <c r="AP8" s="66"/>
      <c r="AQ8" s="10">
        <v>0</v>
      </c>
    </row>
    <row r="9" spans="1:43" ht="21" hidden="1" customHeight="1">
      <c r="A9" s="766"/>
      <c r="B9" s="766"/>
      <c r="C9" s="766"/>
      <c r="D9" s="766"/>
      <c r="E9" s="1284"/>
      <c r="F9" s="1284"/>
      <c r="G9" s="1284"/>
      <c r="H9" s="1284"/>
      <c r="I9" s="1286"/>
      <c r="J9" s="1285"/>
      <c r="K9" s="766"/>
      <c r="L9" s="767"/>
      <c r="P9" s="1287"/>
      <c r="Q9" s="1287"/>
      <c r="R9" s="205"/>
      <c r="S9" s="739"/>
      <c r="T9" s="163" t="s">
        <v>483</v>
      </c>
      <c r="U9" s="210"/>
      <c r="V9" s="210"/>
      <c r="W9" s="210"/>
      <c r="X9" s="210"/>
      <c r="Y9" s="210"/>
      <c r="Z9" s="210"/>
      <c r="AA9" s="210"/>
      <c r="AB9" s="210"/>
      <c r="AC9" s="210"/>
      <c r="AD9" s="210"/>
      <c r="AE9" s="210"/>
      <c r="AF9" s="210"/>
      <c r="AG9" s="210"/>
      <c r="AH9" s="210"/>
      <c r="AI9" s="210"/>
      <c r="AJ9" s="210"/>
      <c r="AK9" s="726" t="s">
        <v>484</v>
      </c>
      <c r="AM9" s="66"/>
      <c r="AN9" s="66" t="str">
        <f t="shared" si="0"/>
        <v>Добавить значение признака дифференциации</v>
      </c>
      <c r="AO9" s="66"/>
      <c r="AP9" s="66"/>
      <c r="AQ9" s="10">
        <v>0</v>
      </c>
    </row>
    <row r="10" spans="1:43" ht="21" hidden="1" customHeight="1">
      <c r="A10" s="766"/>
      <c r="B10" s="766"/>
      <c r="C10" s="766"/>
      <c r="D10" s="766"/>
      <c r="E10" s="1284"/>
      <c r="F10" s="1284"/>
      <c r="G10" s="1284"/>
      <c r="H10" s="1284"/>
      <c r="I10" s="1285"/>
      <c r="J10" s="766"/>
      <c r="K10" s="766"/>
      <c r="L10" s="767"/>
      <c r="P10" s="1287"/>
      <c r="Q10" s="119"/>
      <c r="R10" s="205"/>
      <c r="S10" s="739"/>
      <c r="T10" s="208" t="s">
        <v>412</v>
      </c>
      <c r="U10" s="210"/>
      <c r="V10" s="210"/>
      <c r="W10" s="210"/>
      <c r="X10" s="210"/>
      <c r="Y10" s="210"/>
      <c r="Z10" s="210"/>
      <c r="AA10" s="210"/>
      <c r="AB10" s="209"/>
      <c r="AC10" s="210"/>
      <c r="AD10" s="210"/>
      <c r="AE10" s="210"/>
      <c r="AF10" s="210"/>
      <c r="AG10" s="210"/>
      <c r="AH10" s="210"/>
      <c r="AI10" s="209"/>
      <c r="AJ10" s="210"/>
      <c r="AK10" s="812"/>
      <c r="AM10" s="66"/>
      <c r="AN10" s="66" t="str">
        <f t="shared" si="0"/>
        <v>Добавить группу потребителей</v>
      </c>
      <c r="AO10" s="66"/>
      <c r="AP10" s="66"/>
      <c r="AQ10" s="10">
        <v>0</v>
      </c>
    </row>
    <row r="11" spans="1:43" ht="21" hidden="1" customHeight="1">
      <c r="A11" s="766"/>
      <c r="B11" s="766"/>
      <c r="C11" s="766"/>
      <c r="D11" s="766"/>
      <c r="E11" s="1284"/>
      <c r="F11" s="1284"/>
      <c r="G11" s="1284"/>
      <c r="H11" s="1283"/>
      <c r="I11" s="766"/>
      <c r="J11" s="766"/>
      <c r="K11" s="766"/>
      <c r="L11" s="767"/>
      <c r="M11" s="423"/>
      <c r="N11" s="423"/>
      <c r="O11" s="60"/>
      <c r="P11" s="33"/>
      <c r="Q11" s="213"/>
      <c r="R11" s="204"/>
      <c r="S11" s="739"/>
      <c r="T11" s="104" t="s">
        <v>485</v>
      </c>
      <c r="U11" s="210"/>
      <c r="V11" s="210"/>
      <c r="W11" s="210"/>
      <c r="X11" s="210"/>
      <c r="Y11" s="210"/>
      <c r="Z11" s="210"/>
      <c r="AA11" s="210"/>
      <c r="AB11" s="209"/>
      <c r="AC11" s="210"/>
      <c r="AD11" s="210"/>
      <c r="AE11" s="210"/>
      <c r="AF11" s="210"/>
      <c r="AG11" s="210"/>
      <c r="AH11" s="210"/>
      <c r="AI11" s="209"/>
      <c r="AJ11" s="210"/>
      <c r="AK11" s="171"/>
      <c r="AM11" s="66"/>
      <c r="AN11" s="66" t="str">
        <f t="shared" si="0"/>
        <v>Добавить наименование признака дифференциации</v>
      </c>
      <c r="AO11" s="66"/>
      <c r="AP11" s="66"/>
      <c r="AQ11" s="10">
        <v>0</v>
      </c>
    </row>
    <row r="12" spans="1:43" s="65" customFormat="1" ht="14.25" hidden="1" customHeight="1">
      <c r="A12" s="142"/>
      <c r="B12" s="142"/>
      <c r="C12" s="142"/>
      <c r="D12" s="142"/>
      <c r="E12" s="1284"/>
      <c r="F12" s="1283"/>
      <c r="G12" s="142"/>
      <c r="H12" s="142"/>
      <c r="I12" s="142"/>
      <c r="J12" s="142"/>
      <c r="K12" s="142"/>
      <c r="L12" s="343"/>
      <c r="M12" s="756"/>
      <c r="N12" s="756"/>
      <c r="P12" s="101"/>
      <c r="Q12" s="752"/>
      <c r="R12" s="101"/>
      <c r="S12" s="757"/>
      <c r="T12" s="759" t="s">
        <v>231</v>
      </c>
      <c r="U12" s="310"/>
      <c r="V12" s="310"/>
      <c r="W12" s="310"/>
      <c r="X12" s="310"/>
      <c r="Y12" s="310"/>
      <c r="Z12" s="310"/>
      <c r="AA12" s="310"/>
      <c r="AB12" s="310"/>
      <c r="AC12" s="310"/>
      <c r="AD12" s="310"/>
      <c r="AE12" s="310"/>
      <c r="AF12" s="310"/>
      <c r="AG12" s="310"/>
      <c r="AH12" s="310"/>
      <c r="AI12" s="310"/>
      <c r="AJ12" s="310"/>
      <c r="AK12" s="310"/>
      <c r="AM12" s="66"/>
      <c r="AN12" s="66" t="str">
        <f t="shared" si="0"/>
        <v>Добавить централизованную систему для дифференциации</v>
      </c>
      <c r="AO12" s="66"/>
      <c r="AP12" s="66"/>
      <c r="AQ12" s="65">
        <v>0</v>
      </c>
    </row>
    <row r="13" spans="1:43" s="65" customFormat="1" ht="14.25" hidden="1" customHeight="1">
      <c r="A13" s="142"/>
      <c r="B13" s="142"/>
      <c r="C13" s="142"/>
      <c r="D13" s="142"/>
      <c r="E13" s="1283"/>
      <c r="F13" s="142"/>
      <c r="G13" s="142"/>
      <c r="H13" s="142"/>
      <c r="I13" s="142"/>
      <c r="J13" s="142"/>
      <c r="K13" s="142"/>
      <c r="L13" s="343"/>
      <c r="M13" s="756"/>
      <c r="N13" s="756"/>
      <c r="P13" s="101"/>
      <c r="Q13" s="752"/>
      <c r="R13" s="101"/>
      <c r="S13" s="757"/>
      <c r="T13" s="759" t="s">
        <v>232</v>
      </c>
      <c r="U13" s="310"/>
      <c r="V13" s="310"/>
      <c r="W13" s="310"/>
      <c r="X13" s="310"/>
      <c r="Y13" s="310"/>
      <c r="Z13" s="310"/>
      <c r="AA13" s="310"/>
      <c r="AB13" s="310"/>
      <c r="AC13" s="310"/>
      <c r="AD13" s="310"/>
      <c r="AE13" s="310"/>
      <c r="AF13" s="310"/>
      <c r="AG13" s="310"/>
      <c r="AH13" s="310"/>
      <c r="AI13" s="310"/>
      <c r="AJ13" s="310"/>
      <c r="AK13" s="310"/>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5"/>
      <c r="AD15" s="365"/>
      <c r="AE15" s="765"/>
      <c r="AF15" s="1281"/>
      <c r="AG15" s="1280" t="s">
        <v>64</v>
      </c>
      <c r="AH15" s="1281"/>
      <c r="AI15" s="1280" t="s">
        <v>64</v>
      </c>
      <c r="AQ15" s="10">
        <v>0</v>
      </c>
    </row>
    <row r="16" spans="1:43" ht="14.25" hidden="1" customHeight="1">
      <c r="AC16" s="365"/>
      <c r="AD16" s="365"/>
      <c r="AE16" s="189" t="str">
        <f>AF15&amp;"-"&amp;AH15</f>
        <v>-</v>
      </c>
      <c r="AF16" s="1280"/>
      <c r="AG16" s="1280"/>
      <c r="AH16" s="1280"/>
      <c r="AI16" s="1280"/>
      <c r="AQ16" s="10">
        <v>0</v>
      </c>
    </row>
    <row r="17" spans="1:43" ht="14.25" hidden="1" customHeight="1">
      <c r="AQ17" s="10">
        <v>0</v>
      </c>
    </row>
    <row r="18" spans="1:43" s="60" customFormat="1" ht="22.5" hidden="1" customHeight="1">
      <c r="L18" s="298"/>
      <c r="M18" s="503"/>
      <c r="N18" s="503"/>
      <c r="O18" s="768" t="s">
        <v>415</v>
      </c>
      <c r="P18" s="503"/>
      <c r="Q18" s="769"/>
      <c r="R18" s="769"/>
      <c r="S18" s="423"/>
      <c r="Y18" s="768"/>
      <c r="AA18" s="768"/>
      <c r="AF18" s="768"/>
      <c r="AH18" s="768"/>
      <c r="AL18" s="65"/>
      <c r="AM18" s="65"/>
      <c r="AN18" s="65"/>
      <c r="AO18" s="65"/>
      <c r="AP18" s="65"/>
      <c r="AQ18" s="60">
        <v>0</v>
      </c>
    </row>
    <row r="19" spans="1:43" s="60" customFormat="1" ht="14.25" hidden="1" customHeight="1">
      <c r="L19" s="298"/>
      <c r="M19" s="503"/>
      <c r="N19" s="503"/>
      <c r="O19" s="503"/>
      <c r="P19" s="503"/>
      <c r="Q19" s="769"/>
      <c r="R19" s="769"/>
      <c r="S19" s="423"/>
      <c r="AL19" s="65"/>
      <c r="AM19" s="65"/>
      <c r="AN19" s="65"/>
      <c r="AO19" s="65"/>
      <c r="AP19" s="65"/>
      <c r="AQ19" s="60">
        <v>0</v>
      </c>
    </row>
    <row r="20" spans="1:43" s="60" customFormat="1" ht="12" hidden="1" customHeight="1">
      <c r="L20" s="298"/>
      <c r="M20" s="503"/>
      <c r="N20" s="503"/>
      <c r="O20" s="767" t="s">
        <v>416</v>
      </c>
      <c r="P20" s="503"/>
      <c r="Q20" s="813"/>
      <c r="R20" s="813"/>
      <c r="S20" s="423"/>
      <c r="T20" s="60" t="s">
        <v>417</v>
      </c>
      <c r="Z20" s="79" t="s">
        <v>418</v>
      </c>
      <c r="AB20" s="79" t="s">
        <v>419</v>
      </c>
      <c r="AC20" s="60" t="s">
        <v>417</v>
      </c>
      <c r="AG20" s="79" t="s">
        <v>420</v>
      </c>
      <c r="AI20" s="79" t="s">
        <v>419</v>
      </c>
      <c r="AQ20" s="60">
        <v>0</v>
      </c>
    </row>
    <row r="21" spans="1:43" ht="14.25" hidden="1" customHeight="1">
      <c r="O21" s="767"/>
      <c r="AQ21" s="10">
        <v>0</v>
      </c>
    </row>
    <row r="22" spans="1:43" ht="14.25" hidden="1" customHeight="1">
      <c r="O22" s="767"/>
      <c r="AQ22" s="10">
        <v>0</v>
      </c>
    </row>
    <row r="23" spans="1:43" ht="14.65" customHeight="1">
      <c r="Q23" s="27"/>
      <c r="R23" s="27"/>
      <c r="S23" s="736"/>
      <c r="T23" s="9"/>
      <c r="U23" s="9"/>
      <c r="AQ23" s="10">
        <v>14</v>
      </c>
    </row>
    <row r="24" spans="1:43" ht="14.65" customHeight="1">
      <c r="Q24" s="27"/>
      <c r="R24" s="27"/>
      <c r="S24" s="12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4"/>
      <c r="U24" s="1264"/>
      <c r="V24" s="1264"/>
      <c r="W24" s="1264"/>
      <c r="X24" s="1264"/>
      <c r="Y24" s="1264"/>
      <c r="Z24" s="1264"/>
      <c r="AA24" s="1264"/>
      <c r="AB24" s="1264"/>
      <c r="AC24" s="1264"/>
      <c r="AD24" s="1264"/>
      <c r="AE24" s="1264"/>
      <c r="AF24" s="1264"/>
      <c r="AG24" s="1264"/>
      <c r="AH24" s="1264"/>
      <c r="AI24" s="57"/>
      <c r="AQ24" s="10">
        <v>14</v>
      </c>
    </row>
    <row r="25" spans="1:43" ht="14.65" customHeight="1">
      <c r="Q25" s="27"/>
      <c r="R25" s="27"/>
      <c r="S25" s="1236" t="str">
        <f>IF(org=0,"Не определено",org)</f>
        <v>Общество с ограниченной ответственностью "Березовский рудник"</v>
      </c>
      <c r="T25" s="1236"/>
      <c r="U25" s="1236"/>
      <c r="V25" s="1236"/>
      <c r="W25" s="1236"/>
      <c r="X25" s="1236"/>
      <c r="Y25" s="1236"/>
      <c r="Z25" s="1236"/>
      <c r="AA25" s="1236"/>
      <c r="AB25" s="1236"/>
      <c r="AC25" s="1236"/>
      <c r="AD25" s="1236"/>
      <c r="AE25" s="1236"/>
      <c r="AF25" s="1236"/>
      <c r="AG25" s="1236"/>
      <c r="AH25" s="1236"/>
      <c r="AI25" s="57"/>
      <c r="AQ25" s="10">
        <v>14</v>
      </c>
    </row>
    <row r="26" spans="1:43" ht="14.25" hidden="1" customHeight="1">
      <c r="Q26" s="27"/>
      <c r="R26" s="27"/>
      <c r="S26" s="736"/>
      <c r="T26" s="9"/>
      <c r="U26" s="9"/>
      <c r="V26" s="186"/>
      <c r="W26" s="186"/>
      <c r="X26" s="186"/>
      <c r="Y26" s="186"/>
      <c r="Z26" s="186"/>
      <c r="AA26" s="186"/>
      <c r="AB26" s="186"/>
      <c r="AC26" s="186"/>
      <c r="AD26" s="186"/>
      <c r="AE26" s="186"/>
      <c r="AF26" s="186"/>
      <c r="AG26" s="186"/>
      <c r="AH26" s="186"/>
      <c r="AI26" s="186"/>
      <c r="AQ26" s="10">
        <v>0</v>
      </c>
    </row>
    <row r="27" spans="1:43" s="34" customFormat="1" ht="25.5" hidden="1" customHeight="1">
      <c r="A27" s="79"/>
      <c r="B27" s="79"/>
      <c r="C27" s="79"/>
      <c r="D27" s="79"/>
      <c r="E27" s="79"/>
      <c r="F27" s="79"/>
      <c r="G27" s="79"/>
      <c r="H27" s="79"/>
      <c r="I27" s="79"/>
      <c r="J27" s="79"/>
      <c r="K27" s="79"/>
      <c r="L27" s="767"/>
      <c r="M27" s="79"/>
      <c r="N27" s="79"/>
      <c r="O27" s="79"/>
      <c r="S27" s="1274" t="s">
        <v>41</v>
      </c>
      <c r="T27" s="1274"/>
      <c r="U27" s="770"/>
      <c r="V27" s="1276" t="str">
        <f>IF(TITLE_NAME_OR_PR_CHANGE="",IF(TITLE_NAME_OR_PR="","",TITLE_NAME_OR_PR),TITLE_NAME_OR_PR_CHANGE)</f>
        <v/>
      </c>
      <c r="W27" s="1276"/>
      <c r="X27" s="1276"/>
      <c r="Y27" s="1276"/>
      <c r="Z27" s="1276"/>
      <c r="AA27" s="1276"/>
      <c r="AB27" s="10"/>
      <c r="AC27" s="1276" t="str">
        <f>IF(TITLE_NAME_OR_PR_CHANGE="",IF(TITLE_NAME_OR_PR="","",TITLE_NAME_OR_PR),TITLE_NAME_OR_PR_CHANGE)</f>
        <v/>
      </c>
      <c r="AD27" s="1276"/>
      <c r="AE27" s="1276"/>
      <c r="AF27" s="1276"/>
      <c r="AG27" s="1276"/>
      <c r="AH27" s="1276"/>
      <c r="AI27" s="10"/>
      <c r="AJ27" s="10"/>
      <c r="AK27" s="160"/>
      <c r="AL27" s="66"/>
      <c r="AM27" s="66"/>
      <c r="AN27" s="66"/>
      <c r="AO27" s="66"/>
      <c r="AP27" s="66"/>
      <c r="AQ27" s="34">
        <v>0</v>
      </c>
    </row>
    <row r="28" spans="1:43" s="34" customFormat="1" ht="18.75" hidden="1" customHeight="1">
      <c r="A28" s="79"/>
      <c r="B28" s="79"/>
      <c r="C28" s="79"/>
      <c r="D28" s="79"/>
      <c r="E28" s="79"/>
      <c r="F28" s="79"/>
      <c r="G28" s="79"/>
      <c r="H28" s="79"/>
      <c r="I28" s="79"/>
      <c r="J28" s="79"/>
      <c r="K28" s="79"/>
      <c r="L28" s="767"/>
      <c r="M28" s="79"/>
      <c r="N28" s="79"/>
      <c r="O28" s="79"/>
      <c r="S28" s="1274" t="s">
        <v>421</v>
      </c>
      <c r="T28" s="1274"/>
      <c r="U28" s="770"/>
      <c r="V28" s="1275">
        <f>IF(TITLE_DATE_PR_CHANGE="",IF(TITLE_DATE_PR="","",TITLE_DATE_PR),TITLE_DATE_PR_CHANGE)</f>
        <v>45805</v>
      </c>
      <c r="W28" s="1275"/>
      <c r="X28" s="1275"/>
      <c r="Y28" s="1275"/>
      <c r="Z28" s="1275"/>
      <c r="AA28" s="1275"/>
      <c r="AB28" s="10"/>
      <c r="AC28" s="1275">
        <f>IF(TITLE_DATE_PR_CHANGE="",IF(TITLE_DATE_PR="","",TITLE_DATE_PR),TITLE_DATE_PR_CHANGE)</f>
        <v>45805</v>
      </c>
      <c r="AD28" s="1275"/>
      <c r="AE28" s="1275"/>
      <c r="AF28" s="1275"/>
      <c r="AG28" s="1275"/>
      <c r="AH28" s="1275"/>
      <c r="AI28" s="10"/>
      <c r="AJ28" s="10"/>
      <c r="AK28" s="160"/>
      <c r="AL28" s="66"/>
      <c r="AM28" s="66"/>
      <c r="AN28" s="66"/>
      <c r="AO28" s="66"/>
      <c r="AP28" s="66"/>
      <c r="AQ28" s="34">
        <v>0</v>
      </c>
    </row>
    <row r="29" spans="1:43" s="34" customFormat="1" ht="18.75" hidden="1" customHeight="1">
      <c r="A29" s="79"/>
      <c r="B29" s="79"/>
      <c r="C29" s="79"/>
      <c r="D29" s="79"/>
      <c r="E29" s="79"/>
      <c r="F29" s="79"/>
      <c r="G29" s="79"/>
      <c r="H29" s="79"/>
      <c r="I29" s="79"/>
      <c r="J29" s="79"/>
      <c r="K29" s="79"/>
      <c r="L29" s="767"/>
      <c r="M29" s="79"/>
      <c r="N29" s="79"/>
      <c r="O29" s="79"/>
      <c r="S29" s="1274" t="s">
        <v>422</v>
      </c>
      <c r="T29" s="1274"/>
      <c r="U29" s="770"/>
      <c r="V29" s="1276" t="str">
        <f>IF(TITLE_NUMBER_PR_CHANGE="",IF(TITLE_NUMBER_PR="","",TITLE_NUMBER_PR),TITLE_NUMBER_PR_CHANGE)</f>
        <v>2496</v>
      </c>
      <c r="W29" s="1276"/>
      <c r="X29" s="1276"/>
      <c r="Y29" s="1276"/>
      <c r="Z29" s="1276"/>
      <c r="AA29" s="1276"/>
      <c r="AB29" s="10"/>
      <c r="AC29" s="1276" t="str">
        <f>IF(TITLE_NUMBER_PR_CHANGE="",IF(TITLE_NUMBER_PR="","",TITLE_NUMBER_PR),TITLE_NUMBER_PR_CHANGE)</f>
        <v>2496</v>
      </c>
      <c r="AD29" s="1276"/>
      <c r="AE29" s="1276"/>
      <c r="AF29" s="1276"/>
      <c r="AG29" s="1276"/>
      <c r="AH29" s="1276"/>
      <c r="AI29" s="10"/>
      <c r="AJ29" s="10"/>
      <c r="AK29" s="160"/>
      <c r="AL29" s="66"/>
      <c r="AM29" s="66"/>
      <c r="AN29" s="66"/>
      <c r="AO29" s="66"/>
      <c r="AP29" s="66"/>
      <c r="AQ29" s="34">
        <v>0</v>
      </c>
    </row>
    <row r="30" spans="1:43" s="34" customFormat="1" ht="18.75" hidden="1" customHeight="1">
      <c r="A30" s="79"/>
      <c r="B30" s="79"/>
      <c r="C30" s="79"/>
      <c r="D30" s="79"/>
      <c r="E30" s="79"/>
      <c r="F30" s="79"/>
      <c r="G30" s="79"/>
      <c r="H30" s="79"/>
      <c r="I30" s="79"/>
      <c r="J30" s="79"/>
      <c r="K30" s="79"/>
      <c r="L30" s="767"/>
      <c r="M30" s="79"/>
      <c r="N30" s="79"/>
      <c r="O30" s="79"/>
      <c r="S30" s="1274" t="s">
        <v>42</v>
      </c>
      <c r="T30" s="1274"/>
      <c r="U30" s="770"/>
      <c r="V30" s="1276" t="str">
        <f>IF(TITLE_IST_PUB_CHANGE="",IF(TITLE_IST_PUB="","",TITLE_IST_PUB),TITLE_IST_PUB_CHANGE)</f>
        <v/>
      </c>
      <c r="W30" s="1276"/>
      <c r="X30" s="1276"/>
      <c r="Y30" s="1276"/>
      <c r="Z30" s="1276"/>
      <c r="AA30" s="1276"/>
      <c r="AB30" s="10"/>
      <c r="AC30" s="1276" t="str">
        <f>IF(TITLE_IST_PUB_CHANGE="",IF(TITLE_IST_PUB="","",TITLE_IST_PUB),TITLE_IST_PUB_CHANGE)</f>
        <v/>
      </c>
      <c r="AD30" s="1276"/>
      <c r="AE30" s="1276"/>
      <c r="AF30" s="1276"/>
      <c r="AG30" s="1276"/>
      <c r="AH30" s="1276"/>
      <c r="AI30" s="10"/>
      <c r="AJ30" s="10"/>
      <c r="AK30" s="160"/>
      <c r="AL30" s="66"/>
      <c r="AM30" s="66"/>
      <c r="AN30" s="66"/>
      <c r="AO30" s="66"/>
      <c r="AP30" s="66"/>
      <c r="AQ30" s="34">
        <v>0</v>
      </c>
    </row>
    <row r="31" spans="1:43" ht="14.25" customHeight="1">
      <c r="Q31" s="27"/>
      <c r="R31" s="27"/>
      <c r="S31" s="736"/>
      <c r="T31" s="9"/>
      <c r="U31" s="9"/>
      <c r="V31" s="186"/>
      <c r="W31" s="186"/>
      <c r="X31" s="186"/>
      <c r="Y31" s="186"/>
      <c r="Z31" s="186"/>
      <c r="AA31" s="186"/>
      <c r="AB31" s="186"/>
      <c r="AC31" s="186"/>
      <c r="AD31" s="186"/>
      <c r="AE31" s="186"/>
      <c r="AF31" s="186"/>
      <c r="AG31" s="186"/>
      <c r="AH31" s="186"/>
      <c r="AI31" s="186"/>
      <c r="AQ31" s="10">
        <v>0</v>
      </c>
    </row>
    <row r="32" spans="1:43" s="34" customFormat="1" ht="18.75" customHeight="1">
      <c r="A32" s="79"/>
      <c r="B32" s="79"/>
      <c r="C32" s="79"/>
      <c r="D32" s="79"/>
      <c r="E32" s="79"/>
      <c r="F32" s="79"/>
      <c r="G32" s="79"/>
      <c r="H32" s="79"/>
      <c r="I32" s="79"/>
      <c r="J32" s="79"/>
      <c r="K32" s="79"/>
      <c r="L32" s="767"/>
      <c r="M32" s="79"/>
      <c r="N32" s="79"/>
      <c r="O32" s="79"/>
      <c r="S32" s="1274" t="s">
        <v>423</v>
      </c>
      <c r="T32" s="1274"/>
      <c r="U32" s="770"/>
      <c r="V32" s="1275">
        <f>IF(TITLE_DATE_PR_CHANGE="",IF(TITLE_DATE_PR="","",TITLE_DATE_PR),TITLE_DATE_PR_CHANGE)</f>
        <v>45805</v>
      </c>
      <c r="W32" s="1275"/>
      <c r="X32" s="1275"/>
      <c r="Y32" s="1275"/>
      <c r="Z32" s="1275"/>
      <c r="AA32" s="1275"/>
      <c r="AB32" s="10"/>
      <c r="AC32" s="1275">
        <f>IF(TITLE_DATE_PR_CHANGE="",IF(TITLE_DATE_PR="","",TITLE_DATE_PR),TITLE_DATE_PR_CHANGE)</f>
        <v>45805</v>
      </c>
      <c r="AD32" s="1275"/>
      <c r="AE32" s="1275"/>
      <c r="AF32" s="1275"/>
      <c r="AG32" s="1275"/>
      <c r="AH32" s="1275"/>
      <c r="AI32" s="10"/>
      <c r="AJ32" s="10"/>
      <c r="AK32" s="160"/>
      <c r="AL32" s="66"/>
      <c r="AM32" s="66"/>
      <c r="AN32" s="66"/>
      <c r="AO32" s="66"/>
      <c r="AP32" s="66"/>
      <c r="AQ32" s="34">
        <v>0</v>
      </c>
    </row>
    <row r="33" spans="1:43" s="34" customFormat="1" ht="18.75" customHeight="1">
      <c r="A33" s="79"/>
      <c r="B33" s="79"/>
      <c r="C33" s="79"/>
      <c r="D33" s="79"/>
      <c r="E33" s="79"/>
      <c r="F33" s="79"/>
      <c r="G33" s="79"/>
      <c r="H33" s="79"/>
      <c r="I33" s="79"/>
      <c r="J33" s="79"/>
      <c r="K33" s="79"/>
      <c r="L33" s="767"/>
      <c r="M33" s="79"/>
      <c r="N33" s="79"/>
      <c r="O33" s="79"/>
      <c r="S33" s="1274" t="s">
        <v>424</v>
      </c>
      <c r="T33" s="1274"/>
      <c r="U33" s="770"/>
      <c r="V33" s="1276" t="str">
        <f>IF(TITLE_NUMBER_PR_CHANGE="",IF(TITLE_NUMBER_PR="","",TITLE_NUMBER_PR),TITLE_NUMBER_PR_CHANGE)</f>
        <v>2496</v>
      </c>
      <c r="W33" s="1276"/>
      <c r="X33" s="1276"/>
      <c r="Y33" s="1276"/>
      <c r="Z33" s="1276"/>
      <c r="AA33" s="1276"/>
      <c r="AB33" s="10"/>
      <c r="AC33" s="1276" t="str">
        <f>IF(TITLE_NUMBER_PR_CHANGE="",IF(TITLE_NUMBER_PR="","",TITLE_NUMBER_PR),TITLE_NUMBER_PR_CHANGE)</f>
        <v>2496</v>
      </c>
      <c r="AD33" s="1276"/>
      <c r="AE33" s="1276"/>
      <c r="AF33" s="1276"/>
      <c r="AG33" s="1276"/>
      <c r="AH33" s="1276"/>
      <c r="AI33" s="10"/>
      <c r="AJ33" s="10"/>
      <c r="AK33" s="160"/>
      <c r="AL33" s="66"/>
      <c r="AM33" s="66"/>
      <c r="AN33" s="66"/>
      <c r="AO33" s="66"/>
      <c r="AP33" s="66"/>
      <c r="AQ33" s="34">
        <v>0</v>
      </c>
    </row>
    <row r="34" spans="1:43" s="34" customFormat="1" ht="1.1499999999999999" customHeight="1">
      <c r="A34" s="79"/>
      <c r="B34" s="79"/>
      <c r="C34" s="79"/>
      <c r="D34" s="79"/>
      <c r="E34" s="79"/>
      <c r="F34" s="79"/>
      <c r="G34" s="79"/>
      <c r="H34" s="79"/>
      <c r="I34" s="79"/>
      <c r="J34" s="79"/>
      <c r="K34" s="79"/>
      <c r="L34" s="767"/>
      <c r="M34" s="79"/>
      <c r="N34" s="79"/>
      <c r="O34" s="79"/>
      <c r="S34" s="10"/>
      <c r="T34" s="10"/>
      <c r="U34" s="75"/>
      <c r="V34" s="10"/>
      <c r="W34" s="10"/>
      <c r="X34" s="10"/>
      <c r="Y34" s="10"/>
      <c r="Z34" s="10"/>
      <c r="AA34" s="10"/>
      <c r="AB34" s="65" t="s">
        <v>425</v>
      </c>
      <c r="AC34" s="10"/>
      <c r="AD34" s="10"/>
      <c r="AE34" s="10"/>
      <c r="AF34" s="10"/>
      <c r="AG34" s="10"/>
      <c r="AH34" s="10"/>
      <c r="AI34" s="65" t="s">
        <v>425</v>
      </c>
      <c r="AL34" s="66"/>
      <c r="AM34" s="66"/>
      <c r="AN34" s="66"/>
      <c r="AO34" s="66"/>
      <c r="AP34" s="66"/>
      <c r="AQ34" s="34">
        <v>1</v>
      </c>
    </row>
    <row r="35" spans="1:43" ht="14.65" customHeight="1">
      <c r="Q35" s="27"/>
      <c r="R35" s="27"/>
      <c r="S35" s="736"/>
      <c r="T35" s="9"/>
      <c r="U35" s="717"/>
      <c r="V35" s="1295"/>
      <c r="W35" s="1295"/>
      <c r="X35" s="1295"/>
      <c r="Y35" s="1295"/>
      <c r="Z35" s="1295"/>
      <c r="AA35" s="1295"/>
      <c r="AB35" s="1295"/>
      <c r="AC35" s="1295"/>
      <c r="AD35" s="1295"/>
      <c r="AE35" s="1295"/>
      <c r="AF35" s="1295"/>
      <c r="AG35" s="1295"/>
      <c r="AH35" s="1295"/>
      <c r="AI35" s="1295"/>
      <c r="AQ35" s="10">
        <v>14</v>
      </c>
    </row>
    <row r="36" spans="1:43" ht="14.65" customHeight="1">
      <c r="Q36" s="27"/>
      <c r="R36" s="27"/>
      <c r="S36" s="1146" t="s">
        <v>300</v>
      </c>
      <c r="T36" s="1146"/>
      <c r="U36" s="1146"/>
      <c r="V36" s="1146"/>
      <c r="W36" s="1146"/>
      <c r="X36" s="1146"/>
      <c r="Y36" s="1146"/>
      <c r="Z36" s="1146"/>
      <c r="AA36" s="1146"/>
      <c r="AB36" s="1146"/>
      <c r="AC36" s="1146"/>
      <c r="AD36" s="1146"/>
      <c r="AE36" s="1146"/>
      <c r="AF36" s="1146"/>
      <c r="AG36" s="1146"/>
      <c r="AH36" s="1146"/>
      <c r="AI36" s="1146"/>
      <c r="AJ36" s="1146"/>
      <c r="AK36" s="1146" t="s">
        <v>301</v>
      </c>
      <c r="AQ36" s="10">
        <v>14</v>
      </c>
    </row>
    <row r="37" spans="1:43" ht="14.65" customHeight="1">
      <c r="Q37" s="27"/>
      <c r="R37" s="27"/>
      <c r="S37" s="1296" t="s">
        <v>86</v>
      </c>
      <c r="T37" s="1244" t="s">
        <v>426</v>
      </c>
      <c r="U37" s="169"/>
      <c r="V37" s="1297" t="s">
        <v>427</v>
      </c>
      <c r="W37" s="1298"/>
      <c r="X37" s="1298"/>
      <c r="Y37" s="1298"/>
      <c r="Z37" s="1298"/>
      <c r="AA37" s="1299"/>
      <c r="AB37" s="1300" t="s">
        <v>428</v>
      </c>
      <c r="AC37" s="1297" t="s">
        <v>427</v>
      </c>
      <c r="AD37" s="1298"/>
      <c r="AE37" s="1298"/>
      <c r="AF37" s="1298"/>
      <c r="AG37" s="1298"/>
      <c r="AH37" s="1299"/>
      <c r="AI37" s="1300" t="s">
        <v>429</v>
      </c>
      <c r="AJ37" s="1303" t="s">
        <v>430</v>
      </c>
      <c r="AK37" s="1146"/>
      <c r="AQ37" s="10">
        <v>14</v>
      </c>
    </row>
    <row r="38" spans="1:43" ht="35.65" customHeight="1">
      <c r="Q38" s="27"/>
      <c r="R38" s="27"/>
      <c r="S38" s="1296"/>
      <c r="T38" s="1244"/>
      <c r="U38" s="604"/>
      <c r="V38" s="337" t="s">
        <v>486</v>
      </c>
      <c r="W38" s="1128" t="s">
        <v>433</v>
      </c>
      <c r="X38" s="1127"/>
      <c r="Y38" s="1128" t="s">
        <v>434</v>
      </c>
      <c r="Z38" s="1133"/>
      <c r="AA38" s="1127"/>
      <c r="AB38" s="1301"/>
      <c r="AC38" s="337" t="s">
        <v>486</v>
      </c>
      <c r="AD38" s="1128" t="s">
        <v>433</v>
      </c>
      <c r="AE38" s="1127"/>
      <c r="AF38" s="1128" t="s">
        <v>434</v>
      </c>
      <c r="AG38" s="1133"/>
      <c r="AH38" s="1127"/>
      <c r="AI38" s="1301"/>
      <c r="AJ38" s="1304"/>
      <c r="AK38" s="1146"/>
      <c r="AQ38" s="10">
        <v>34</v>
      </c>
    </row>
    <row r="39" spans="1:43" ht="90.4" customHeight="1">
      <c r="A39" s="79"/>
      <c r="B39" s="79" t="s">
        <v>133</v>
      </c>
      <c r="C39" s="79" t="s">
        <v>134</v>
      </c>
      <c r="D39" s="79" t="s">
        <v>135</v>
      </c>
      <c r="E39" s="767" t="s">
        <v>435</v>
      </c>
      <c r="F39" s="767" t="s">
        <v>436</v>
      </c>
      <c r="G39" s="767" t="s">
        <v>437</v>
      </c>
      <c r="H39" s="767"/>
      <c r="I39" s="767" t="s">
        <v>487</v>
      </c>
      <c r="J39" s="767" t="s">
        <v>440</v>
      </c>
      <c r="K39" s="767" t="s">
        <v>488</v>
      </c>
      <c r="L39" s="767" t="s">
        <v>416</v>
      </c>
      <c r="Q39" s="27"/>
      <c r="R39" s="27"/>
      <c r="S39" s="1296"/>
      <c r="T39" s="1244"/>
      <c r="U39" s="170"/>
      <c r="V39" s="337" t="s">
        <v>517</v>
      </c>
      <c r="W39" s="38" t="s">
        <v>518</v>
      </c>
      <c r="X39" s="38" t="s">
        <v>491</v>
      </c>
      <c r="Y39" s="38" t="s">
        <v>444</v>
      </c>
      <c r="Z39" s="1249" t="s">
        <v>445</v>
      </c>
      <c r="AA39" s="1263"/>
      <c r="AB39" s="1302"/>
      <c r="AC39" s="337" t="s">
        <v>517</v>
      </c>
      <c r="AD39" s="38" t="s">
        <v>518</v>
      </c>
      <c r="AE39" s="38" t="s">
        <v>491</v>
      </c>
      <c r="AF39" s="38" t="s">
        <v>444</v>
      </c>
      <c r="AG39" s="1249" t="s">
        <v>445</v>
      </c>
      <c r="AH39" s="1263"/>
      <c r="AI39" s="1302"/>
      <c r="AJ39" s="1305"/>
      <c r="AK39" s="1146"/>
      <c r="AQ39" s="10">
        <v>86</v>
      </c>
    </row>
    <row r="40" spans="1:43" s="200" customFormat="1" ht="0" hidden="1" customHeight="1">
      <c r="A40" s="79"/>
      <c r="B40" s="79"/>
      <c r="C40" s="79"/>
      <c r="D40" s="79"/>
      <c r="E40" s="79"/>
      <c r="F40" s="79"/>
      <c r="G40" s="79"/>
      <c r="H40" s="79"/>
      <c r="I40" s="79"/>
      <c r="J40" s="79"/>
      <c r="K40" s="79"/>
      <c r="L40" s="767"/>
      <c r="M40" s="503"/>
      <c r="N40" s="503"/>
      <c r="O40" s="503"/>
      <c r="P40" s="719"/>
      <c r="Q40" s="720"/>
      <c r="R40" s="722">
        <v>1</v>
      </c>
      <c r="S40" s="738" t="s">
        <v>107</v>
      </c>
      <c r="T40" s="723" t="s">
        <v>108</v>
      </c>
      <c r="U40" s="718" t="str">
        <f ca="1">OFFSET(U40,0,-1)</f>
        <v>2</v>
      </c>
      <c r="V40" s="724">
        <f ca="1">OFFSET(V40,0,-1)+1</f>
        <v>3</v>
      </c>
      <c r="W40" s="724">
        <f ca="1">OFFSET(W40,0,-1)+1</f>
        <v>4</v>
      </c>
      <c r="X40" s="724">
        <f ca="1">OFFSET(X40,0,-1)+1</f>
        <v>5</v>
      </c>
      <c r="Y40" s="724">
        <f ca="1">OFFSET(Y40,0,-1)+1</f>
        <v>6</v>
      </c>
      <c r="Z40" s="1294">
        <f ca="1">OFFSET(Z40,0,-1)+1</f>
        <v>7</v>
      </c>
      <c r="AA40" s="1294"/>
      <c r="AB40" s="724">
        <f ca="1">OFFSET(AB40,0,-2)+1</f>
        <v>8</v>
      </c>
      <c r="AC40" s="724">
        <f ca="1">OFFSET(AC40,0,-1)+1</f>
        <v>9</v>
      </c>
      <c r="AD40" s="724">
        <f ca="1">OFFSET(AD40,0,-1)+1</f>
        <v>10</v>
      </c>
      <c r="AE40" s="724">
        <f ca="1">OFFSET(AE40,0,-1)+1</f>
        <v>11</v>
      </c>
      <c r="AF40" s="724">
        <f ca="1">OFFSET(AF40,0,-1)+1</f>
        <v>12</v>
      </c>
      <c r="AG40" s="1294">
        <f ca="1">OFFSET(AG40,0,-1)+1</f>
        <v>13</v>
      </c>
      <c r="AH40" s="1294"/>
      <c r="AI40" s="724">
        <f ca="1">OFFSET(AI40,0,-2)+1</f>
        <v>14</v>
      </c>
      <c r="AJ40" s="718">
        <f ca="1">OFFSET(AJ40,0,-1)</f>
        <v>14</v>
      </c>
      <c r="AK40" s="724">
        <f ca="1">OFFSET(AK40,0,-1)+1</f>
        <v>15</v>
      </c>
      <c r="AL40" s="65"/>
      <c r="AM40" s="65"/>
      <c r="AN40" s="65"/>
      <c r="AO40" s="65"/>
      <c r="AP40" s="65"/>
      <c r="AQ40" s="200">
        <v>0</v>
      </c>
    </row>
    <row r="41" spans="1:43" ht="24" customHeight="1">
      <c r="A41" s="766" t="s">
        <v>271</v>
      </c>
      <c r="B41" s="766"/>
      <c r="C41" s="766"/>
      <c r="D41" s="766"/>
      <c r="E41" s="1283">
        <v>1</v>
      </c>
      <c r="F41" s="766"/>
      <c r="G41" s="766"/>
      <c r="H41" s="766"/>
      <c r="I41" s="766"/>
      <c r="J41" s="766"/>
      <c r="K41" s="766"/>
      <c r="L41" s="767"/>
      <c r="M41" s="423"/>
      <c r="N41" s="423"/>
      <c r="O41" s="423"/>
      <c r="Q41" s="33"/>
      <c r="R41" s="204"/>
      <c r="S41" s="706">
        <f>INDEX(PT_DIFFERENTIATION_NUM_NTAR,MATCH(A41,PT_DIFFERENTIATION_NTAR_ID,0))</f>
        <v>0</v>
      </c>
      <c r="T41" s="64" t="s">
        <v>121</v>
      </c>
      <c r="U41" s="168"/>
      <c r="V41" s="1277"/>
      <c r="W41" s="1278"/>
      <c r="X41" s="1278"/>
      <c r="Y41" s="1278"/>
      <c r="Z41" s="1278"/>
      <c r="AA41" s="1278"/>
      <c r="AB41" s="1279"/>
      <c r="AC41" s="1277" t="str">
        <f>INDEX(PT_DIFFERENTIATION_NTAR,MATCH(A41,PT_DIFFERENTIATION_NTAR_ID,0))</f>
        <v/>
      </c>
      <c r="AD41" s="1278"/>
      <c r="AE41" s="1278"/>
      <c r="AF41" s="1278"/>
      <c r="AG41" s="1278"/>
      <c r="AH41" s="1278"/>
      <c r="AI41" s="1278"/>
      <c r="AJ41" s="1279"/>
      <c r="AK41"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66" t="s">
        <v>271</v>
      </c>
      <c r="B42" s="766" t="s">
        <v>272</v>
      </c>
      <c r="C42" s="766"/>
      <c r="D42" s="766"/>
      <c r="E42" s="1284"/>
      <c r="F42" s="1283">
        <v>1</v>
      </c>
      <c r="G42" s="766"/>
      <c r="H42" s="766"/>
      <c r="I42" s="766"/>
      <c r="J42" s="766"/>
      <c r="K42" s="766"/>
      <c r="L42" s="767"/>
      <c r="M42" s="423"/>
      <c r="N42" s="423"/>
      <c r="O42" s="423"/>
      <c r="P42" s="56"/>
      <c r="Q42" s="201"/>
      <c r="R42" s="202"/>
      <c r="S42" s="706" t="str">
        <f>INDEX(PT_DIFFERENTIATION_NUM_TER,MATCH(B42,PT_DIFFERENTIATION_TER_ID,0))</f>
        <v>.</v>
      </c>
      <c r="T42" s="174" t="s">
        <v>397</v>
      </c>
      <c r="U42" s="168"/>
      <c r="V42" s="1277"/>
      <c r="W42" s="1278"/>
      <c r="X42" s="1278"/>
      <c r="Y42" s="1278"/>
      <c r="Z42" s="1278"/>
      <c r="AA42" s="1278"/>
      <c r="AB42" s="1279"/>
      <c r="AC42" s="1277" t="str">
        <f>INDEX(PT_DIFFERENTIATION_TER,MATCH(B42,PT_DIFFERENTIATION_TER_ID,0))</f>
        <v/>
      </c>
      <c r="AD42" s="1278"/>
      <c r="AE42" s="1278"/>
      <c r="AF42" s="1278"/>
      <c r="AG42" s="1278"/>
      <c r="AH42" s="1278"/>
      <c r="AI42" s="1278"/>
      <c r="AJ42" s="1279"/>
      <c r="AK42" s="726" t="s">
        <v>398</v>
      </c>
      <c r="AM42" s="66"/>
      <c r="AN42" s="66" t="str">
        <f t="shared" si="1"/>
        <v>Территория действия тарифа</v>
      </c>
      <c r="AO42" s="66"/>
      <c r="AP42" s="66"/>
      <c r="AQ42" s="10">
        <v>23</v>
      </c>
    </row>
    <row r="43" spans="1:43" ht="24" customHeight="1">
      <c r="A43" s="766" t="s">
        <v>271</v>
      </c>
      <c r="B43" s="766" t="s">
        <v>272</v>
      </c>
      <c r="C43" s="766" t="s">
        <v>273</v>
      </c>
      <c r="D43" s="766"/>
      <c r="E43" s="1284"/>
      <c r="F43" s="1284"/>
      <c r="G43" s="1283">
        <v>1</v>
      </c>
      <c r="H43" s="766"/>
      <c r="I43" s="766"/>
      <c r="J43" s="766"/>
      <c r="K43" s="766"/>
      <c r="L43" s="767"/>
      <c r="M43" s="423"/>
      <c r="N43" s="423"/>
      <c r="O43" s="423"/>
      <c r="P43" s="203"/>
      <c r="Q43" s="201"/>
      <c r="R43" s="202"/>
      <c r="S43" s="706" t="str">
        <f>INDEX(PT_DIFFERENTIATION_NUM_CS,MATCH(C43,PT_DIFFERENTIATION_CS_ID,0))</f>
        <v>..</v>
      </c>
      <c r="T43" s="175" t="s">
        <v>515</v>
      </c>
      <c r="U43" s="168"/>
      <c r="V43" s="1277"/>
      <c r="W43" s="1278"/>
      <c r="X43" s="1278"/>
      <c r="Y43" s="1278"/>
      <c r="Z43" s="1278"/>
      <c r="AA43" s="1278"/>
      <c r="AB43" s="1279"/>
      <c r="AC43" s="1277" t="str">
        <f>INDEX(PT_DIFFERENTIATION_CS,MATCH(C43,PT_DIFFERENTIATION_CS_ID,0))</f>
        <v/>
      </c>
      <c r="AD43" s="1278"/>
      <c r="AE43" s="1278"/>
      <c r="AF43" s="1278"/>
      <c r="AG43" s="1278"/>
      <c r="AH43" s="1278"/>
      <c r="AI43" s="1278"/>
      <c r="AJ43" s="1279"/>
      <c r="AK43" s="726" t="s">
        <v>516</v>
      </c>
      <c r="AM43" s="66"/>
      <c r="AN43" s="66" t="str">
        <f t="shared" si="1"/>
        <v>Наименование централизованной системы водоотведения</v>
      </c>
      <c r="AO43" s="66"/>
      <c r="AP43" s="66"/>
      <c r="AQ43" s="10">
        <v>23</v>
      </c>
    </row>
    <row r="44" spans="1:43" ht="24" customHeight="1">
      <c r="A44" s="766" t="s">
        <v>271</v>
      </c>
      <c r="B44" s="766" t="s">
        <v>272</v>
      </c>
      <c r="C44" s="766" t="s">
        <v>273</v>
      </c>
      <c r="D44" s="766" t="s">
        <v>520</v>
      </c>
      <c r="E44" s="1284"/>
      <c r="F44" s="1284"/>
      <c r="G44" s="1284"/>
      <c r="H44" s="1284"/>
      <c r="I44" s="1285" t="str">
        <f>S43&amp;".1"</f>
        <v>...1</v>
      </c>
      <c r="J44" s="766"/>
      <c r="K44" s="766"/>
      <c r="L44" s="767"/>
      <c r="P44" s="1287">
        <v>1</v>
      </c>
      <c r="Q44" s="119"/>
      <c r="R44" s="205"/>
      <c r="S44" s="706" t="str">
        <f>$I44</f>
        <v>...1</v>
      </c>
      <c r="T44" s="161" t="s">
        <v>480</v>
      </c>
      <c r="U44" s="168"/>
      <c r="V44" s="1351"/>
      <c r="W44" s="1352"/>
      <c r="X44" s="1352"/>
      <c r="Y44" s="1352"/>
      <c r="Z44" s="1352"/>
      <c r="AA44" s="1352"/>
      <c r="AB44" s="1353"/>
      <c r="AC44" s="1354"/>
      <c r="AD44" s="1355"/>
      <c r="AE44" s="1355"/>
      <c r="AF44" s="1355"/>
      <c r="AG44" s="1355"/>
      <c r="AH44" s="1355"/>
      <c r="AI44" s="1355"/>
      <c r="AJ44" s="1356"/>
      <c r="AK44" s="726" t="s">
        <v>481</v>
      </c>
      <c r="AM44" s="66"/>
      <c r="AN44" s="66" t="str">
        <f t="shared" si="1"/>
        <v>Наименование признака дифференциации</v>
      </c>
      <c r="AO44" s="66"/>
      <c r="AP44" s="66"/>
      <c r="AQ44" s="10">
        <v>23</v>
      </c>
    </row>
    <row r="45" spans="1:43" ht="24" customHeight="1">
      <c r="A45" s="766" t="s">
        <v>271</v>
      </c>
      <c r="B45" s="766" t="s">
        <v>272</v>
      </c>
      <c r="C45" s="766" t="s">
        <v>273</v>
      </c>
      <c r="D45" s="766" t="s">
        <v>520</v>
      </c>
      <c r="E45" s="1284"/>
      <c r="F45" s="1284"/>
      <c r="G45" s="1284"/>
      <c r="H45" s="1284"/>
      <c r="I45" s="1286"/>
      <c r="J45" s="1285" t="str">
        <f>I44&amp;".1"</f>
        <v>...1.1</v>
      </c>
      <c r="K45" s="766"/>
      <c r="L45" s="767" t="s">
        <v>406</v>
      </c>
      <c r="P45" s="1287"/>
      <c r="Q45" s="1287">
        <v>1</v>
      </c>
      <c r="R45" s="206"/>
      <c r="S45" s="706" t="str">
        <f>$J45</f>
        <v>...1.1</v>
      </c>
      <c r="T45" s="162" t="s">
        <v>407</v>
      </c>
      <c r="U45" s="168"/>
      <c r="V45" s="1271"/>
      <c r="W45" s="1272"/>
      <c r="X45" s="1272"/>
      <c r="Y45" s="1272"/>
      <c r="Z45" s="1272"/>
      <c r="AA45" s="1272"/>
      <c r="AB45" s="1273"/>
      <c r="AC45" s="1271"/>
      <c r="AD45" s="1272"/>
      <c r="AE45" s="1272"/>
      <c r="AF45" s="1272"/>
      <c r="AG45" s="1272"/>
      <c r="AH45" s="1272"/>
      <c r="AI45" s="1272"/>
      <c r="AJ45" s="1273"/>
      <c r="AK45" s="750" t="s">
        <v>482</v>
      </c>
      <c r="AM45" s="66"/>
      <c r="AN45" s="66" t="str">
        <f t="shared" si="1"/>
        <v>Группа потребителей</v>
      </c>
      <c r="AO45" s="66"/>
      <c r="AP45" s="66"/>
      <c r="AQ45" s="10">
        <v>23</v>
      </c>
    </row>
    <row r="46" spans="1:43" ht="24" customHeight="1">
      <c r="A46" s="766" t="s">
        <v>271</v>
      </c>
      <c r="B46" s="766" t="s">
        <v>272</v>
      </c>
      <c r="C46" s="766" t="s">
        <v>273</v>
      </c>
      <c r="D46" s="766" t="s">
        <v>520</v>
      </c>
      <c r="E46" s="1284"/>
      <c r="F46" s="1284"/>
      <c r="G46" s="1284"/>
      <c r="H46" s="1284"/>
      <c r="I46" s="1286"/>
      <c r="J46" s="1286"/>
      <c r="K46" s="1285" t="str">
        <f>J45&amp;".1"</f>
        <v>...1.1.1</v>
      </c>
      <c r="L46" s="767"/>
      <c r="P46" s="1287"/>
      <c r="Q46" s="1287"/>
      <c r="R46" s="206">
        <v>1</v>
      </c>
      <c r="S46" s="706" t="str">
        <f>$K46</f>
        <v>...1.1.1</v>
      </c>
      <c r="T46" s="810"/>
      <c r="U46" s="168"/>
      <c r="V46" s="365"/>
      <c r="W46" s="365"/>
      <c r="X46" s="765"/>
      <c r="Y46" s="1281"/>
      <c r="Z46" s="1280" t="s">
        <v>64</v>
      </c>
      <c r="AA46" s="1281"/>
      <c r="AB46" s="1280" t="s">
        <v>64</v>
      </c>
      <c r="AC46" s="303"/>
      <c r="AD46" s="303"/>
      <c r="AE46" s="725"/>
      <c r="AF46" s="1288"/>
      <c r="AG46" s="1156" t="s">
        <v>64</v>
      </c>
      <c r="AH46" s="1290"/>
      <c r="AI46" s="1156" t="s">
        <v>19</v>
      </c>
      <c r="AJ46" s="811"/>
      <c r="AK46"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66" t="s">
        <v>271</v>
      </c>
      <c r="B47" s="766" t="s">
        <v>272</v>
      </c>
      <c r="C47" s="766" t="s">
        <v>273</v>
      </c>
      <c r="D47" s="766" t="s">
        <v>520</v>
      </c>
      <c r="E47" s="1284"/>
      <c r="F47" s="1284"/>
      <c r="G47" s="1284"/>
      <c r="H47" s="1284"/>
      <c r="I47" s="1286"/>
      <c r="J47" s="1286"/>
      <c r="K47" s="1285"/>
      <c r="L47" s="767"/>
      <c r="P47" s="1287"/>
      <c r="Q47" s="1287"/>
      <c r="R47" s="206"/>
      <c r="S47" s="62"/>
      <c r="T47" s="168"/>
      <c r="U47" s="168"/>
      <c r="V47" s="365"/>
      <c r="W47" s="365"/>
      <c r="X47" s="189" t="str">
        <f>Y46&amp;"-"&amp;AA46</f>
        <v>-</v>
      </c>
      <c r="Y47" s="1280"/>
      <c r="Z47" s="1280"/>
      <c r="AA47" s="1280"/>
      <c r="AB47" s="1280"/>
      <c r="AC47" s="188"/>
      <c r="AD47" s="188"/>
      <c r="AE47" s="189" t="str">
        <f>AF46&amp;"-"&amp;AH46</f>
        <v>-</v>
      </c>
      <c r="AF47" s="1289"/>
      <c r="AG47" s="1156"/>
      <c r="AH47" s="1291"/>
      <c r="AI47" s="1156"/>
      <c r="AJ47" s="385"/>
      <c r="AK47" s="1357"/>
      <c r="AM47" s="66"/>
      <c r="AN47" s="66" t="str">
        <f t="shared" si="1"/>
        <v/>
      </c>
      <c r="AO47" s="66"/>
      <c r="AP47" s="66"/>
      <c r="AQ47" s="10">
        <v>0</v>
      </c>
    </row>
    <row r="48" spans="1:43" ht="21" customHeight="1">
      <c r="A48" s="766" t="s">
        <v>271</v>
      </c>
      <c r="B48" s="766" t="s">
        <v>272</v>
      </c>
      <c r="C48" s="766" t="s">
        <v>273</v>
      </c>
      <c r="D48" s="766" t="s">
        <v>520</v>
      </c>
      <c r="E48" s="1284"/>
      <c r="F48" s="1284"/>
      <c r="G48" s="1284"/>
      <c r="H48" s="1284"/>
      <c r="I48" s="1286"/>
      <c r="J48" s="1285"/>
      <c r="K48" s="766"/>
      <c r="L48" s="767"/>
      <c r="P48" s="1287"/>
      <c r="Q48" s="1287"/>
      <c r="R48" s="205"/>
      <c r="S48" s="739"/>
      <c r="T48" s="163" t="s">
        <v>483</v>
      </c>
      <c r="U48" s="210"/>
      <c r="V48" s="210"/>
      <c r="W48" s="210"/>
      <c r="X48" s="210"/>
      <c r="Y48" s="210"/>
      <c r="Z48" s="210"/>
      <c r="AA48" s="210"/>
      <c r="AB48" s="210"/>
      <c r="AC48" s="210"/>
      <c r="AD48" s="210"/>
      <c r="AE48" s="210"/>
      <c r="AF48" s="210"/>
      <c r="AG48" s="210"/>
      <c r="AH48" s="210"/>
      <c r="AI48" s="210"/>
      <c r="AJ48" s="210"/>
      <c r="AK48" s="726" t="s">
        <v>484</v>
      </c>
      <c r="AM48" s="66"/>
      <c r="AN48" s="66" t="str">
        <f t="shared" si="1"/>
        <v>Добавить значение признака дифференциации</v>
      </c>
      <c r="AO48" s="66"/>
      <c r="AP48" s="66"/>
      <c r="AQ48" s="10">
        <v>20</v>
      </c>
    </row>
    <row r="49" spans="1:43" ht="21.95" customHeight="1">
      <c r="A49" s="766" t="s">
        <v>271</v>
      </c>
      <c r="B49" s="766" t="s">
        <v>272</v>
      </c>
      <c r="C49" s="766" t="s">
        <v>273</v>
      </c>
      <c r="D49" s="766" t="s">
        <v>520</v>
      </c>
      <c r="E49" s="1284"/>
      <c r="F49" s="1284"/>
      <c r="G49" s="1284"/>
      <c r="H49" s="1284"/>
      <c r="I49" s="1285"/>
      <c r="J49" s="766"/>
      <c r="K49" s="766"/>
      <c r="L49" s="767"/>
      <c r="P49" s="1287"/>
      <c r="Q49" s="119"/>
      <c r="R49" s="205"/>
      <c r="S49" s="739"/>
      <c r="T49" s="208" t="s">
        <v>412</v>
      </c>
      <c r="U49" s="210"/>
      <c r="V49" s="210"/>
      <c r="W49" s="210"/>
      <c r="X49" s="210"/>
      <c r="Y49" s="210"/>
      <c r="Z49" s="210"/>
      <c r="AA49" s="210"/>
      <c r="AB49" s="209"/>
      <c r="AC49" s="210"/>
      <c r="AD49" s="210"/>
      <c r="AE49" s="210"/>
      <c r="AF49" s="210"/>
      <c r="AG49" s="210"/>
      <c r="AH49" s="210"/>
      <c r="AI49" s="209"/>
      <c r="AJ49" s="210"/>
      <c r="AK49" s="812"/>
      <c r="AM49" s="66"/>
      <c r="AN49" s="66" t="str">
        <f t="shared" si="1"/>
        <v>Добавить группу потребителей</v>
      </c>
      <c r="AO49" s="66"/>
      <c r="AP49" s="66"/>
      <c r="AQ49" s="10">
        <v>21</v>
      </c>
    </row>
    <row r="50" spans="1:43" ht="21.95" customHeight="1">
      <c r="A50" s="766" t="s">
        <v>271</v>
      </c>
      <c r="B50" s="766" t="s">
        <v>272</v>
      </c>
      <c r="C50" s="766" t="s">
        <v>273</v>
      </c>
      <c r="D50" s="766" t="s">
        <v>520</v>
      </c>
      <c r="E50" s="1284"/>
      <c r="F50" s="1284"/>
      <c r="G50" s="1284"/>
      <c r="H50" s="1283"/>
      <c r="I50" s="766"/>
      <c r="J50" s="766"/>
      <c r="K50" s="766"/>
      <c r="L50" s="767"/>
      <c r="M50" s="423"/>
      <c r="N50" s="423"/>
      <c r="O50" s="60"/>
      <c r="P50" s="33"/>
      <c r="Q50" s="213"/>
      <c r="R50" s="204"/>
      <c r="S50" s="739"/>
      <c r="T50" s="104" t="s">
        <v>485</v>
      </c>
      <c r="U50" s="210"/>
      <c r="V50" s="210"/>
      <c r="W50" s="210"/>
      <c r="X50" s="210"/>
      <c r="Y50" s="210"/>
      <c r="Z50" s="210"/>
      <c r="AA50" s="210"/>
      <c r="AB50" s="209"/>
      <c r="AC50" s="210"/>
      <c r="AD50" s="210"/>
      <c r="AE50" s="210"/>
      <c r="AF50" s="210"/>
      <c r="AG50" s="210"/>
      <c r="AH50" s="210"/>
      <c r="AI50" s="209"/>
      <c r="AJ50" s="210"/>
      <c r="AK50" s="171"/>
      <c r="AM50" s="66"/>
      <c r="AN50" s="66" t="str">
        <f t="shared" si="1"/>
        <v>Добавить наименование признака дифференциации</v>
      </c>
      <c r="AO50" s="66"/>
      <c r="AP50" s="66"/>
      <c r="AQ50" s="10">
        <v>21</v>
      </c>
    </row>
    <row r="51" spans="1:43" s="65" customFormat="1" ht="0" hidden="1" customHeight="1">
      <c r="A51" s="142" t="s">
        <v>271</v>
      </c>
      <c r="B51" s="142" t="s">
        <v>272</v>
      </c>
      <c r="C51" s="142"/>
      <c r="D51" s="142"/>
      <c r="E51" s="1284"/>
      <c r="F51" s="1283"/>
      <c r="G51" s="142"/>
      <c r="H51" s="142"/>
      <c r="I51" s="142"/>
      <c r="J51" s="142"/>
      <c r="K51" s="142"/>
      <c r="L51" s="343"/>
      <c r="M51" s="756"/>
      <c r="N51" s="756"/>
      <c r="P51" s="101"/>
      <c r="Q51" s="752"/>
      <c r="R51" s="101"/>
      <c r="S51" s="757"/>
      <c r="T51" s="759" t="s">
        <v>231</v>
      </c>
      <c r="U51" s="310"/>
      <c r="V51" s="310"/>
      <c r="W51" s="310"/>
      <c r="X51" s="310"/>
      <c r="Y51" s="310"/>
      <c r="Z51" s="310"/>
      <c r="AA51" s="310"/>
      <c r="AB51" s="310"/>
      <c r="AC51" s="310"/>
      <c r="AD51" s="310"/>
      <c r="AE51" s="310"/>
      <c r="AF51" s="310"/>
      <c r="AG51" s="310"/>
      <c r="AH51" s="310"/>
      <c r="AI51" s="310"/>
      <c r="AJ51" s="310"/>
      <c r="AK51" s="310"/>
      <c r="AM51" s="66"/>
      <c r="AN51" s="66" t="str">
        <f t="shared" si="1"/>
        <v>Добавить централизованную систему для дифференциации</v>
      </c>
      <c r="AO51" s="66"/>
      <c r="AP51" s="66"/>
      <c r="AQ51" s="65">
        <v>0</v>
      </c>
    </row>
    <row r="52" spans="1:43" s="65" customFormat="1" ht="0" hidden="1" customHeight="1">
      <c r="A52" s="142" t="s">
        <v>271</v>
      </c>
      <c r="B52" s="142"/>
      <c r="C52" s="142"/>
      <c r="D52" s="142"/>
      <c r="E52" s="1283"/>
      <c r="F52" s="142"/>
      <c r="G52" s="142"/>
      <c r="H52" s="142"/>
      <c r="I52" s="142"/>
      <c r="J52" s="142"/>
      <c r="K52" s="142"/>
      <c r="L52" s="343"/>
      <c r="M52" s="756"/>
      <c r="N52" s="756"/>
      <c r="P52" s="101"/>
      <c r="Q52" s="752"/>
      <c r="R52" s="101"/>
      <c r="S52" s="757"/>
      <c r="T52" s="759" t="s">
        <v>232</v>
      </c>
      <c r="U52" s="310"/>
      <c r="V52" s="310"/>
      <c r="W52" s="310"/>
      <c r="X52" s="310"/>
      <c r="Y52" s="310"/>
      <c r="Z52" s="310"/>
      <c r="AA52" s="310"/>
      <c r="AB52" s="310"/>
      <c r="AC52" s="310"/>
      <c r="AD52" s="310"/>
      <c r="AE52" s="310"/>
      <c r="AF52" s="310"/>
      <c r="AG52" s="310"/>
      <c r="AH52" s="310"/>
      <c r="AI52" s="310"/>
      <c r="AJ52" s="310"/>
      <c r="AK52" s="310"/>
      <c r="AM52" s="66"/>
      <c r="AN52" s="66" t="str">
        <f t="shared" si="1"/>
        <v>Добавить территорию для дифференциации</v>
      </c>
      <c r="AO52" s="66"/>
      <c r="AP52" s="66"/>
      <c r="AQ52" s="65">
        <v>0</v>
      </c>
    </row>
    <row r="53" spans="1:43" s="65" customFormat="1" ht="0" hidden="1" customHeight="1">
      <c r="A53" s="142"/>
      <c r="B53" s="142"/>
      <c r="C53" s="142"/>
      <c r="D53" s="142"/>
      <c r="E53" s="142"/>
      <c r="F53" s="142"/>
      <c r="G53" s="142"/>
      <c r="H53" s="142"/>
      <c r="I53" s="142"/>
      <c r="J53" s="142"/>
      <c r="K53" s="142"/>
      <c r="L53" s="343"/>
      <c r="M53" s="756"/>
      <c r="N53" s="756"/>
      <c r="P53" s="101"/>
      <c r="Q53" s="752"/>
      <c r="R53" s="101"/>
      <c r="S53" s="757"/>
      <c r="T53" s="759" t="s">
        <v>233</v>
      </c>
      <c r="U53" s="310"/>
      <c r="V53" s="310"/>
      <c r="W53" s="310"/>
      <c r="X53" s="310"/>
      <c r="Y53" s="310"/>
      <c r="Z53" s="310"/>
      <c r="AA53" s="310"/>
      <c r="AB53" s="310"/>
      <c r="AC53" s="310"/>
      <c r="AD53" s="310"/>
      <c r="AE53" s="310"/>
      <c r="AF53" s="310"/>
      <c r="AG53" s="310"/>
      <c r="AH53" s="310"/>
      <c r="AI53" s="310"/>
      <c r="AJ53" s="310"/>
      <c r="AK53" s="310"/>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5"/>
      <c r="T55" s="1282"/>
      <c r="U55" s="1282"/>
      <c r="V55" s="1282"/>
      <c r="W55" s="1282"/>
      <c r="X55" s="1282"/>
      <c r="Y55" s="1282"/>
      <c r="Z55" s="1282"/>
      <c r="AA55" s="1282"/>
      <c r="AB55" s="1282"/>
      <c r="AC55" s="1282"/>
      <c r="AD55" s="1282"/>
      <c r="AE55" s="1282"/>
      <c r="AF55" s="1282"/>
      <c r="AG55" s="1282"/>
      <c r="AH55" s="1282"/>
      <c r="AI55" s="1282"/>
      <c r="AJ55" s="1282"/>
      <c r="AK55" s="1282"/>
      <c r="AQ55" s="10">
        <v>14</v>
      </c>
    </row>
    <row r="56" spans="1:43" ht="14.65" customHeight="1">
      <c r="O56" s="60"/>
      <c r="AQ56" s="10">
        <v>14</v>
      </c>
    </row>
    <row r="57" spans="1:43" ht="14.65" customHeight="1">
      <c r="O57" s="60"/>
      <c r="S57" s="195"/>
      <c r="T57" s="1282"/>
      <c r="U57" s="1282"/>
      <c r="V57" s="1282"/>
      <c r="W57" s="1282"/>
      <c r="X57" s="1282"/>
      <c r="Y57" s="1282"/>
      <c r="Z57" s="1282"/>
      <c r="AA57" s="1282"/>
      <c r="AB57" s="1282"/>
      <c r="AC57" s="1282"/>
      <c r="AD57" s="1282"/>
      <c r="AE57" s="1282"/>
      <c r="AF57" s="1282"/>
      <c r="AG57" s="1282"/>
      <c r="AH57" s="1282"/>
      <c r="AI57" s="1282"/>
      <c r="AJ57" s="1282"/>
      <c r="AK57" s="1282"/>
      <c r="AQ57" s="10">
        <v>14</v>
      </c>
    </row>
    <row r="58" spans="1:43" ht="22.5" hidden="1" customHeight="1">
      <c r="A58" s="60" t="s">
        <v>80</v>
      </c>
      <c r="B58" s="60">
        <v>0</v>
      </c>
      <c r="C58" s="60">
        <v>0</v>
      </c>
      <c r="D58" s="60">
        <v>0</v>
      </c>
      <c r="E58" s="60">
        <v>0</v>
      </c>
      <c r="F58" s="60">
        <v>0</v>
      </c>
      <c r="G58" s="60">
        <v>0</v>
      </c>
      <c r="H58" s="60">
        <v>0</v>
      </c>
      <c r="I58" s="60">
        <v>0</v>
      </c>
      <c r="J58" s="60">
        <v>0</v>
      </c>
      <c r="K58" s="60">
        <v>0</v>
      </c>
      <c r="L58" s="298">
        <v>0</v>
      </c>
      <c r="M58" s="503">
        <v>0</v>
      </c>
      <c r="N58" s="503">
        <v>0</v>
      </c>
      <c r="O58" s="503">
        <v>0</v>
      </c>
      <c r="P58" s="32">
        <v>3</v>
      </c>
      <c r="Q58" s="28">
        <v>3</v>
      </c>
      <c r="R58" s="28">
        <v>3</v>
      </c>
      <c r="S58" s="339">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8" hidden="1" customWidth="1"/>
    <col min="13" max="14" width="12.28515625" style="503" hidden="1" customWidth="1"/>
    <col min="15" max="15" width="23.42578125" style="503" hidden="1" customWidth="1"/>
    <col min="16" max="16" width="3.7109375" style="503" hidden="1" customWidth="1"/>
    <col min="17" max="17" width="3.7109375" style="769" hidden="1" customWidth="1"/>
    <col min="18" max="18" width="3" style="28" customWidth="1"/>
    <col min="19" max="19" width="12" style="339"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5" customWidth="1"/>
    <col min="61" max="61" width="10.5703125" style="10" hidden="1"/>
  </cols>
  <sheetData>
    <row r="1" spans="1:61" ht="22.5" hidden="1" customHeight="1">
      <c r="BI1" s="10" t="s">
        <v>14</v>
      </c>
    </row>
    <row r="2" spans="1:61" ht="21" hidden="1" customHeight="1">
      <c r="A2" s="766"/>
      <c r="B2" s="766"/>
      <c r="C2" s="766"/>
      <c r="D2" s="766"/>
      <c r="E2" s="1283">
        <v>1</v>
      </c>
      <c r="F2" s="766"/>
      <c r="G2" s="766"/>
      <c r="H2" s="766"/>
      <c r="I2" s="766"/>
      <c r="J2" s="766"/>
      <c r="K2" s="766"/>
      <c r="L2" s="767"/>
      <c r="M2" s="423"/>
      <c r="N2" s="423"/>
      <c r="O2" s="423"/>
      <c r="Q2" s="59"/>
      <c r="R2" s="204"/>
      <c r="S2" s="706" t="e">
        <f>INDEX(PT_DIFFERENTIATION_NUM_NTAR,MATCH(A2,PT_DIFFERENTIATION_NTAR_ID,0))</f>
        <v>#N/A</v>
      </c>
      <c r="T2" s="64" t="s">
        <v>121</v>
      </c>
      <c r="U2" s="168"/>
      <c r="V2" s="1278"/>
      <c r="W2" s="1278"/>
      <c r="X2" s="1278"/>
      <c r="Y2" s="1278"/>
      <c r="Z2" s="1278"/>
      <c r="AA2" s="1278"/>
      <c r="AB2" s="1278"/>
      <c r="AC2" s="1279"/>
      <c r="AD2" s="1277" t="e">
        <f>INDEX(PT_DIFFERENTIATION_NTAR,MATCH(A2,PT_DIFFERENTIATION_NTAR_ID,0))</f>
        <v>#N/A</v>
      </c>
      <c r="AE2" s="1278"/>
      <c r="AF2" s="1278"/>
      <c r="AG2" s="1278"/>
      <c r="AH2" s="1278"/>
      <c r="AI2" s="1278"/>
      <c r="AJ2" s="1278"/>
      <c r="AK2" s="1278"/>
      <c r="AL2" s="1278"/>
      <c r="AM2" s="1278"/>
      <c r="AN2" s="1278"/>
      <c r="AO2" s="1278"/>
      <c r="AP2" s="1278"/>
      <c r="AQ2" s="1278"/>
      <c r="AR2" s="1278"/>
      <c r="AS2" s="1278"/>
      <c r="AT2" s="1278"/>
      <c r="AU2" s="1278"/>
      <c r="AV2" s="1278"/>
      <c r="AW2" s="1278"/>
      <c r="AX2" s="1278"/>
      <c r="AY2" s="1278"/>
      <c r="AZ2" s="1278"/>
      <c r="BA2" s="1278"/>
      <c r="BB2" s="1279"/>
      <c r="BC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c r="BI2" s="10">
        <v>0</v>
      </c>
    </row>
    <row r="3" spans="1:61" ht="21" hidden="1" customHeight="1">
      <c r="A3" s="766"/>
      <c r="B3" s="766"/>
      <c r="C3" s="766"/>
      <c r="D3" s="766"/>
      <c r="E3" s="1284"/>
      <c r="F3" s="1283">
        <v>1</v>
      </c>
      <c r="G3" s="766"/>
      <c r="H3" s="766"/>
      <c r="I3" s="766"/>
      <c r="J3" s="766"/>
      <c r="K3" s="766"/>
      <c r="L3" s="767"/>
      <c r="M3" s="423"/>
      <c r="N3" s="423"/>
      <c r="O3" s="423"/>
      <c r="P3" s="298"/>
      <c r="Q3" s="799"/>
      <c r="R3" s="202"/>
      <c r="S3" s="706" t="e">
        <f>INDEX(PT_DIFFERENTIATION_NUM_TER,MATCH(B3,PT_DIFFERENTIATION_TER_ID,0))</f>
        <v>#N/A</v>
      </c>
      <c r="T3" s="174" t="s">
        <v>397</v>
      </c>
      <c r="U3" s="168"/>
      <c r="V3" s="1278"/>
      <c r="W3" s="1278"/>
      <c r="X3" s="1278"/>
      <c r="Y3" s="1278"/>
      <c r="Z3" s="1278"/>
      <c r="AA3" s="1278"/>
      <c r="AB3" s="1278"/>
      <c r="AC3" s="1279"/>
      <c r="AD3" s="1277" t="e">
        <f>INDEX(PT_DIFFERENTIATION_TER,MATCH(B3,PT_DIFFERENTIATION_TER_ID,0))</f>
        <v>#N/A</v>
      </c>
      <c r="AE3" s="1278"/>
      <c r="AF3" s="1278"/>
      <c r="AG3" s="1278"/>
      <c r="AH3" s="1278"/>
      <c r="AI3" s="1278"/>
      <c r="AJ3" s="1278"/>
      <c r="AK3" s="1278"/>
      <c r="AL3" s="1278"/>
      <c r="AM3" s="1278"/>
      <c r="AN3" s="1278"/>
      <c r="AO3" s="1278"/>
      <c r="AP3" s="1278"/>
      <c r="AQ3" s="1278"/>
      <c r="AR3" s="1278"/>
      <c r="AS3" s="1278"/>
      <c r="AT3" s="1278"/>
      <c r="AU3" s="1278"/>
      <c r="AV3" s="1278"/>
      <c r="AW3" s="1278"/>
      <c r="AX3" s="1278"/>
      <c r="AY3" s="1278"/>
      <c r="AZ3" s="1278"/>
      <c r="BA3" s="1278"/>
      <c r="BB3" s="1279"/>
      <c r="BC3" s="726" t="s">
        <v>398</v>
      </c>
      <c r="BE3" s="66"/>
      <c r="BF3" s="66" t="str">
        <f t="shared" si="0"/>
        <v>Территория действия тарифа</v>
      </c>
      <c r="BG3" s="66"/>
      <c r="BH3" s="66"/>
      <c r="BI3" s="10">
        <v>0</v>
      </c>
    </row>
    <row r="4" spans="1:61" ht="33.75" hidden="1" customHeight="1">
      <c r="A4" s="766"/>
      <c r="B4" s="766"/>
      <c r="C4" s="766"/>
      <c r="D4" s="766"/>
      <c r="E4" s="1284"/>
      <c r="F4" s="1284"/>
      <c r="G4" s="1283">
        <v>1</v>
      </c>
      <c r="H4" s="766"/>
      <c r="I4" s="766"/>
      <c r="J4" s="766"/>
      <c r="K4" s="766"/>
      <c r="L4" s="767"/>
      <c r="M4" s="423"/>
      <c r="N4" s="423"/>
      <c r="O4" s="423"/>
      <c r="P4" s="128"/>
      <c r="Q4" s="799"/>
      <c r="R4" s="202"/>
      <c r="S4" s="706" t="e">
        <f>INDEX(PT_DIFFERENTIATION_NUM_CS,MATCH(C4,PT_DIFFERENTIATION_CS_ID,0))</f>
        <v>#N/A</v>
      </c>
      <c r="T4" s="175" t="s">
        <v>515</v>
      </c>
      <c r="U4" s="168"/>
      <c r="V4" s="1278"/>
      <c r="W4" s="1278"/>
      <c r="X4" s="1278"/>
      <c r="Y4" s="1278"/>
      <c r="Z4" s="1278"/>
      <c r="AA4" s="1278"/>
      <c r="AB4" s="1278"/>
      <c r="AC4" s="1279"/>
      <c r="AD4" s="1277" t="e">
        <f>INDEX(PT_DIFFERENTIATION_CS,MATCH(C4,PT_DIFFERENTIATION_CS_ID,0))</f>
        <v>#N/A</v>
      </c>
      <c r="AE4" s="1278"/>
      <c r="AF4" s="1278"/>
      <c r="AG4" s="1278"/>
      <c r="AH4" s="1278"/>
      <c r="AI4" s="1278"/>
      <c r="AJ4" s="1278"/>
      <c r="AK4" s="1278"/>
      <c r="AL4" s="1278"/>
      <c r="AM4" s="1278"/>
      <c r="AN4" s="1278"/>
      <c r="AO4" s="1278"/>
      <c r="AP4" s="1278"/>
      <c r="AQ4" s="1278"/>
      <c r="AR4" s="1278"/>
      <c r="AS4" s="1278"/>
      <c r="AT4" s="1278"/>
      <c r="AU4" s="1278"/>
      <c r="AV4" s="1278"/>
      <c r="AW4" s="1278"/>
      <c r="AX4" s="1278"/>
      <c r="AY4" s="1278"/>
      <c r="AZ4" s="1278"/>
      <c r="BA4" s="1278"/>
      <c r="BB4" s="1279"/>
      <c r="BC4" s="726" t="s">
        <v>516</v>
      </c>
      <c r="BE4" s="66"/>
      <c r="BF4" s="66" t="str">
        <f t="shared" si="0"/>
        <v>Наименование централизованной системы водоотведения</v>
      </c>
      <c r="BG4" s="66"/>
      <c r="BH4" s="66"/>
      <c r="BI4" s="10">
        <v>0</v>
      </c>
    </row>
    <row r="5" spans="1:61" s="65" customFormat="1" ht="14.25" hidden="1" customHeight="1">
      <c r="A5" s="142"/>
      <c r="B5" s="142"/>
      <c r="C5" s="142"/>
      <c r="D5" s="142"/>
      <c r="E5" s="1284"/>
      <c r="F5" s="1284"/>
      <c r="G5" s="1284"/>
      <c r="H5" s="1283">
        <v>1</v>
      </c>
      <c r="I5" s="142"/>
      <c r="J5" s="142"/>
      <c r="K5" s="142"/>
      <c r="L5" s="343"/>
      <c r="M5" s="290"/>
      <c r="N5" s="290"/>
      <c r="O5" s="290"/>
      <c r="P5" s="818"/>
      <c r="Q5" s="819"/>
      <c r="R5" s="206"/>
      <c r="S5" s="359"/>
      <c r="T5" s="820"/>
      <c r="U5" s="777"/>
      <c r="V5" s="1315"/>
      <c r="W5" s="1315"/>
      <c r="X5" s="1315"/>
      <c r="Y5" s="1315"/>
      <c r="Z5" s="1315"/>
      <c r="AA5" s="1315"/>
      <c r="AB5" s="1315"/>
      <c r="AC5" s="1316"/>
      <c r="AD5" s="1314"/>
      <c r="AE5" s="1315"/>
      <c r="AF5" s="1315"/>
      <c r="AG5" s="1315"/>
      <c r="AH5" s="1315"/>
      <c r="AI5" s="1315"/>
      <c r="AJ5" s="1315"/>
      <c r="AK5" s="1315"/>
      <c r="AL5" s="1315"/>
      <c r="AM5" s="1315"/>
      <c r="AN5" s="1315"/>
      <c r="AO5" s="1315"/>
      <c r="AP5" s="1315"/>
      <c r="AQ5" s="1315"/>
      <c r="AR5" s="1315"/>
      <c r="AS5" s="1315"/>
      <c r="AT5" s="1315"/>
      <c r="AU5" s="1315"/>
      <c r="AV5" s="1315"/>
      <c r="AW5" s="1315"/>
      <c r="AX5" s="1315"/>
      <c r="AY5" s="1315"/>
      <c r="AZ5" s="1315"/>
      <c r="BA5" s="1315"/>
      <c r="BB5" s="1316"/>
      <c r="BC5" s="778" t="s">
        <v>402</v>
      </c>
      <c r="BE5" s="66"/>
      <c r="BF5" s="66" t="str">
        <f t="shared" si="0"/>
        <v/>
      </c>
      <c r="BG5" s="66"/>
      <c r="BH5" s="66"/>
      <c r="BI5" s="65">
        <v>0</v>
      </c>
    </row>
    <row r="6" spans="1:61" s="65" customFormat="1" ht="14.25" hidden="1" customHeight="1">
      <c r="A6" s="142"/>
      <c r="B6" s="142"/>
      <c r="C6" s="142"/>
      <c r="D6" s="142"/>
      <c r="E6" s="1284"/>
      <c r="F6" s="1284"/>
      <c r="G6" s="1284"/>
      <c r="H6" s="1284"/>
      <c r="I6" s="1285" t="str">
        <f>S5&amp;".1"</f>
        <v>.1</v>
      </c>
      <c r="J6" s="142"/>
      <c r="K6" s="142"/>
      <c r="L6" s="343" t="s">
        <v>403</v>
      </c>
      <c r="M6" s="287"/>
      <c r="N6" s="287"/>
      <c r="O6" s="287"/>
      <c r="P6" s="1287">
        <v>1</v>
      </c>
      <c r="Q6" s="119"/>
      <c r="R6" s="205"/>
      <c r="S6" s="359"/>
      <c r="T6" s="776"/>
      <c r="U6" s="777"/>
      <c r="V6" s="1315"/>
      <c r="W6" s="1315"/>
      <c r="X6" s="1315"/>
      <c r="Y6" s="1315"/>
      <c r="Z6" s="1315"/>
      <c r="AA6" s="1315"/>
      <c r="AB6" s="1315"/>
      <c r="AC6" s="1316"/>
      <c r="AD6" s="1314"/>
      <c r="AE6" s="1315"/>
      <c r="AF6" s="1315"/>
      <c r="AG6" s="1315"/>
      <c r="AH6" s="1315"/>
      <c r="AI6" s="1315"/>
      <c r="AJ6" s="1315"/>
      <c r="AK6" s="1315"/>
      <c r="AL6" s="1315"/>
      <c r="AM6" s="1315"/>
      <c r="AN6" s="1315"/>
      <c r="AO6" s="1315"/>
      <c r="AP6" s="1315"/>
      <c r="AQ6" s="1315"/>
      <c r="AR6" s="1315"/>
      <c r="AS6" s="1315"/>
      <c r="AT6" s="1315"/>
      <c r="AU6" s="1315"/>
      <c r="AV6" s="1315"/>
      <c r="AW6" s="1315"/>
      <c r="AX6" s="1315"/>
      <c r="AY6" s="1315"/>
      <c r="AZ6" s="1315"/>
      <c r="BA6" s="1315"/>
      <c r="BB6" s="1316"/>
      <c r="BC6" s="778"/>
      <c r="BE6" s="66"/>
      <c r="BF6" s="66" t="str">
        <f t="shared" si="0"/>
        <v/>
      </c>
      <c r="BG6" s="66"/>
      <c r="BH6" s="66"/>
      <c r="BI6" s="65">
        <v>0</v>
      </c>
    </row>
    <row r="7" spans="1:61" s="65" customFormat="1" ht="14.25" hidden="1" customHeight="1">
      <c r="A7" s="142"/>
      <c r="B7" s="142"/>
      <c r="C7" s="142"/>
      <c r="D7" s="142"/>
      <c r="E7" s="1284"/>
      <c r="F7" s="1284"/>
      <c r="G7" s="1284"/>
      <c r="H7" s="1284"/>
      <c r="I7" s="1286"/>
      <c r="J7" s="1285" t="str">
        <f>S5&amp;".1"</f>
        <v>.1</v>
      </c>
      <c r="K7" s="142"/>
      <c r="L7" s="343"/>
      <c r="M7" s="287"/>
      <c r="N7" s="287"/>
      <c r="O7" s="287"/>
      <c r="P7" s="1287"/>
      <c r="Q7" s="1287">
        <v>1</v>
      </c>
      <c r="R7" s="206"/>
      <c r="S7" s="359"/>
      <c r="T7" s="791"/>
      <c r="U7" s="777"/>
      <c r="V7" s="1315"/>
      <c r="W7" s="1315"/>
      <c r="X7" s="1315"/>
      <c r="Y7" s="1315"/>
      <c r="Z7" s="1315"/>
      <c r="AA7" s="1315"/>
      <c r="AB7" s="1315"/>
      <c r="AC7" s="1316"/>
      <c r="AD7" s="1314"/>
      <c r="AE7" s="1315"/>
      <c r="AF7" s="1315"/>
      <c r="AG7" s="1315"/>
      <c r="AH7" s="1315"/>
      <c r="AI7" s="1315"/>
      <c r="AJ7" s="1315"/>
      <c r="AK7" s="1315"/>
      <c r="AL7" s="1315"/>
      <c r="AM7" s="1315"/>
      <c r="AN7" s="1315"/>
      <c r="AO7" s="1315"/>
      <c r="AP7" s="1315"/>
      <c r="AQ7" s="1315"/>
      <c r="AR7" s="1315"/>
      <c r="AS7" s="1315"/>
      <c r="AT7" s="1315"/>
      <c r="AU7" s="1315"/>
      <c r="AV7" s="1315"/>
      <c r="AW7" s="1315"/>
      <c r="AX7" s="1315"/>
      <c r="AY7" s="1315"/>
      <c r="AZ7" s="1315"/>
      <c r="BA7" s="1315"/>
      <c r="BB7" s="1316"/>
      <c r="BC7" s="778"/>
      <c r="BE7" s="66"/>
      <c r="BF7" s="66" t="str">
        <f t="shared" si="0"/>
        <v/>
      </c>
      <c r="BG7" s="66"/>
      <c r="BH7" s="66"/>
      <c r="BI7" s="65">
        <v>0</v>
      </c>
    </row>
    <row r="8" spans="1:61" ht="11.25" hidden="1" customHeight="1">
      <c r="A8" s="766"/>
      <c r="B8" s="766"/>
      <c r="C8" s="766"/>
      <c r="D8" s="766"/>
      <c r="E8" s="1284"/>
      <c r="F8" s="1284"/>
      <c r="G8" s="1284"/>
      <c r="H8" s="1284"/>
      <c r="I8" s="1286"/>
      <c r="J8" s="1286"/>
      <c r="K8" s="1285" t="e">
        <f>S4&amp;".1"</f>
        <v>#N/A</v>
      </c>
      <c r="L8" s="767"/>
      <c r="P8" s="1287"/>
      <c r="Q8" s="1287"/>
      <c r="R8" s="1343">
        <v>1</v>
      </c>
      <c r="S8" s="1340" t="e">
        <f>$K8</f>
        <v>#N/A</v>
      </c>
      <c r="T8" s="1360"/>
      <c r="U8" s="168"/>
      <c r="V8" s="303"/>
      <c r="W8" s="725"/>
      <c r="X8" s="303"/>
      <c r="Y8" s="725"/>
      <c r="Z8" s="942"/>
      <c r="AA8" s="294" t="s">
        <v>64</v>
      </c>
      <c r="AB8" s="942"/>
      <c r="AC8" s="294" t="s">
        <v>64</v>
      </c>
      <c r="AD8" s="1212" t="s">
        <v>64</v>
      </c>
      <c r="AE8" s="1336"/>
      <c r="AF8" s="1240">
        <v>1</v>
      </c>
      <c r="AG8" s="1359"/>
      <c r="AH8" s="1156" t="s">
        <v>64</v>
      </c>
      <c r="AI8" s="1336"/>
      <c r="AJ8" s="1240">
        <v>1</v>
      </c>
      <c r="AK8" s="1350" t="s">
        <v>28</v>
      </c>
      <c r="AL8" s="1156" t="s">
        <v>64</v>
      </c>
      <c r="AM8" s="1217"/>
      <c r="AN8" s="1240">
        <v>1</v>
      </c>
      <c r="AO8" s="1363"/>
      <c r="AP8" s="1364" t="s">
        <v>64</v>
      </c>
      <c r="AQ8" s="177"/>
      <c r="AR8" s="265">
        <v>1</v>
      </c>
      <c r="AS8" s="116" t="s">
        <v>28</v>
      </c>
      <c r="AT8" s="303"/>
      <c r="AU8" s="725"/>
      <c r="AV8" s="303"/>
      <c r="AW8" s="725"/>
      <c r="AX8" s="942"/>
      <c r="AY8" s="294" t="s">
        <v>64</v>
      </c>
      <c r="AZ8" s="942"/>
      <c r="BA8" s="294" t="s">
        <v>64</v>
      </c>
      <c r="BB8" s="763"/>
      <c r="BC8" s="1306" t="s">
        <v>500</v>
      </c>
      <c r="BE8" s="66"/>
      <c r="BF8" s="66" t="str">
        <f t="shared" si="0"/>
        <v/>
      </c>
      <c r="BG8" s="66"/>
      <c r="BH8" s="66"/>
      <c r="BI8" s="10">
        <v>0</v>
      </c>
    </row>
    <row r="9" spans="1:61" ht="11.25" hidden="1" customHeight="1">
      <c r="A9" s="766"/>
      <c r="B9" s="766"/>
      <c r="C9" s="766"/>
      <c r="D9" s="766"/>
      <c r="E9" s="1284"/>
      <c r="F9" s="1284"/>
      <c r="G9" s="1284"/>
      <c r="H9" s="1284"/>
      <c r="I9" s="1286"/>
      <c r="J9" s="1286"/>
      <c r="K9" s="1285"/>
      <c r="L9" s="767"/>
      <c r="P9" s="1287"/>
      <c r="Q9" s="1287"/>
      <c r="R9" s="1343"/>
      <c r="S9" s="1341"/>
      <c r="T9" s="1361"/>
      <c r="U9" s="168"/>
      <c r="V9" s="786"/>
      <c r="W9" s="817"/>
      <c r="X9" s="786"/>
      <c r="Y9" s="817"/>
      <c r="Z9" s="786"/>
      <c r="AA9" s="786"/>
      <c r="AB9" s="786"/>
      <c r="AC9" s="786"/>
      <c r="AD9" s="1213"/>
      <c r="AE9" s="1336"/>
      <c r="AF9" s="1240"/>
      <c r="AG9" s="1359"/>
      <c r="AH9" s="1156"/>
      <c r="AI9" s="1336"/>
      <c r="AJ9" s="1240"/>
      <c r="AK9" s="1350"/>
      <c r="AL9" s="1156"/>
      <c r="AM9" s="1222"/>
      <c r="AN9" s="1240"/>
      <c r="AO9" s="1363"/>
      <c r="AP9" s="1365"/>
      <c r="AQ9" s="181"/>
      <c r="AR9" s="51"/>
      <c r="AS9" s="51" t="s">
        <v>501</v>
      </c>
      <c r="AT9" s="786"/>
      <c r="AU9" s="817"/>
      <c r="AV9" s="786"/>
      <c r="AW9" s="817"/>
      <c r="AX9" s="786"/>
      <c r="AY9" s="786"/>
      <c r="AZ9" s="786"/>
      <c r="BA9" s="786"/>
      <c r="BB9" s="790"/>
      <c r="BC9" s="1307"/>
      <c r="BE9" s="66"/>
      <c r="BF9" s="66"/>
      <c r="BG9" s="66"/>
      <c r="BH9" s="66"/>
      <c r="BI9" s="10">
        <v>0</v>
      </c>
    </row>
    <row r="10" spans="1:61" ht="11.25" hidden="1" customHeight="1">
      <c r="A10" s="766"/>
      <c r="B10" s="766"/>
      <c r="C10" s="766"/>
      <c r="D10" s="766"/>
      <c r="E10" s="1284"/>
      <c r="F10" s="1284"/>
      <c r="G10" s="1284"/>
      <c r="H10" s="1284"/>
      <c r="I10" s="1286"/>
      <c r="J10" s="1286"/>
      <c r="K10" s="1285"/>
      <c r="L10" s="767"/>
      <c r="P10" s="1287"/>
      <c r="Q10" s="1287"/>
      <c r="R10" s="1343"/>
      <c r="S10" s="1341"/>
      <c r="T10" s="1361"/>
      <c r="U10" s="168"/>
      <c r="V10" s="786"/>
      <c r="W10" s="817"/>
      <c r="X10" s="786"/>
      <c r="Y10" s="817"/>
      <c r="Z10" s="786"/>
      <c r="AA10" s="786"/>
      <c r="AB10" s="786"/>
      <c r="AC10" s="786"/>
      <c r="AD10" s="1213"/>
      <c r="AE10" s="1336"/>
      <c r="AF10" s="1240"/>
      <c r="AG10" s="1359"/>
      <c r="AH10" s="1156"/>
      <c r="AI10" s="1336"/>
      <c r="AJ10" s="1240"/>
      <c r="AK10" s="1350"/>
      <c r="AL10" s="1156"/>
      <c r="AM10" s="181"/>
      <c r="AN10" s="821"/>
      <c r="AO10" s="821" t="s">
        <v>521</v>
      </c>
      <c r="AP10" s="51"/>
      <c r="AQ10" s="51"/>
      <c r="AR10" s="51"/>
      <c r="AS10" s="786"/>
      <c r="AT10" s="786"/>
      <c r="AU10" s="817"/>
      <c r="AV10" s="786"/>
      <c r="AW10" s="817"/>
      <c r="AX10" s="786"/>
      <c r="AY10" s="786"/>
      <c r="AZ10" s="786"/>
      <c r="BA10" s="786"/>
      <c r="BB10" s="790"/>
      <c r="BC10" s="1307"/>
      <c r="BE10" s="66"/>
      <c r="BF10" s="66"/>
      <c r="BG10" s="66"/>
      <c r="BH10" s="66"/>
      <c r="BI10" s="10">
        <v>0</v>
      </c>
    </row>
    <row r="11" spans="1:61" ht="11.25" hidden="1" customHeight="1">
      <c r="A11" s="766"/>
      <c r="B11" s="766"/>
      <c r="C11" s="766"/>
      <c r="D11" s="766"/>
      <c r="E11" s="1284"/>
      <c r="F11" s="1284"/>
      <c r="G11" s="1284"/>
      <c r="H11" s="1284"/>
      <c r="I11" s="1286"/>
      <c r="J11" s="1286"/>
      <c r="K11" s="1285"/>
      <c r="L11" s="767"/>
      <c r="P11" s="1287"/>
      <c r="Q11" s="1287"/>
      <c r="R11" s="1343"/>
      <c r="S11" s="1341"/>
      <c r="T11" s="1361"/>
      <c r="U11" s="168"/>
      <c r="V11" s="786"/>
      <c r="W11" s="817"/>
      <c r="X11" s="786"/>
      <c r="Y11" s="817"/>
      <c r="Z11" s="786"/>
      <c r="AA11" s="786"/>
      <c r="AB11" s="786"/>
      <c r="AC11" s="786"/>
      <c r="AD11" s="1213"/>
      <c r="AE11" s="1336"/>
      <c r="AF11" s="1240"/>
      <c r="AG11" s="1359"/>
      <c r="AH11" s="1156"/>
      <c r="AI11" s="166"/>
      <c r="AJ11" s="107"/>
      <c r="AK11" s="179" t="s">
        <v>522</v>
      </c>
      <c r="AL11" s="786"/>
      <c r="AM11" s="786"/>
      <c r="AN11" s="786"/>
      <c r="AO11" s="786"/>
      <c r="AP11" s="786"/>
      <c r="AQ11" s="786"/>
      <c r="AR11" s="786"/>
      <c r="AS11" s="786"/>
      <c r="AT11" s="786"/>
      <c r="AU11" s="817"/>
      <c r="AV11" s="786"/>
      <c r="AW11" s="817"/>
      <c r="AX11" s="786"/>
      <c r="AY11" s="786"/>
      <c r="AZ11" s="786"/>
      <c r="BA11" s="786"/>
      <c r="BB11" s="790"/>
      <c r="BC11" s="1307"/>
      <c r="BE11" s="66"/>
      <c r="BF11" s="66"/>
      <c r="BG11" s="66"/>
      <c r="BH11" s="66"/>
      <c r="BI11" s="10">
        <v>0</v>
      </c>
    </row>
    <row r="12" spans="1:61" ht="11.25" hidden="1" customHeight="1">
      <c r="A12" s="766"/>
      <c r="B12" s="766"/>
      <c r="C12" s="766"/>
      <c r="D12" s="766"/>
      <c r="E12" s="1284"/>
      <c r="F12" s="1284"/>
      <c r="G12" s="1284"/>
      <c r="H12" s="1284"/>
      <c r="I12" s="1286"/>
      <c r="J12" s="1286"/>
      <c r="K12" s="1285"/>
      <c r="L12" s="767"/>
      <c r="P12" s="1287"/>
      <c r="Q12" s="1287"/>
      <c r="R12" s="1343"/>
      <c r="S12" s="1342"/>
      <c r="T12" s="1362"/>
      <c r="U12" s="168"/>
      <c r="V12" s="786"/>
      <c r="W12" s="787" t="str">
        <f>Z8&amp;"-"&amp;AB8</f>
        <v>-</v>
      </c>
      <c r="X12" s="786"/>
      <c r="Y12" s="787" t="str">
        <f>AB8&amp;"-"&amp;AD8</f>
        <v>-да</v>
      </c>
      <c r="Z12" s="786"/>
      <c r="AA12" s="786"/>
      <c r="AB12" s="786"/>
      <c r="AC12" s="786"/>
      <c r="AD12" s="1161"/>
      <c r="AE12" s="178"/>
      <c r="AF12" s="180"/>
      <c r="AG12" s="51" t="s">
        <v>504</v>
      </c>
      <c r="AH12" s="786"/>
      <c r="AI12" s="786"/>
      <c r="AJ12" s="786"/>
      <c r="AK12" s="786"/>
      <c r="AL12" s="786"/>
      <c r="AM12" s="786"/>
      <c r="AN12" s="786"/>
      <c r="AO12" s="786"/>
      <c r="AP12" s="786"/>
      <c r="AQ12" s="786"/>
      <c r="AR12" s="786"/>
      <c r="AS12" s="786"/>
      <c r="AT12" s="786"/>
      <c r="AU12" s="787" t="str">
        <f>AX8&amp;"-"&amp;AZ8</f>
        <v>-</v>
      </c>
      <c r="AV12" s="786"/>
      <c r="AW12" s="787" t="str">
        <f>AZ8&amp;"-"&amp;BB8</f>
        <v>-</v>
      </c>
      <c r="AX12" s="786"/>
      <c r="AY12" s="786"/>
      <c r="AZ12" s="786"/>
      <c r="BA12" s="786"/>
      <c r="BB12" s="789" t="str">
        <f>BE8&amp;"-"&amp;BG8</f>
        <v>-</v>
      </c>
      <c r="BC12" s="1307"/>
      <c r="BE12" s="66"/>
      <c r="BF12" s="66" t="str">
        <f t="shared" ref="BF12:BF18" si="1">IF(T12="","",T12)</f>
        <v/>
      </c>
      <c r="BG12" s="66"/>
      <c r="BH12" s="66"/>
      <c r="BI12" s="10">
        <v>0</v>
      </c>
    </row>
    <row r="13" spans="1:61" ht="11.25" hidden="1" customHeight="1">
      <c r="A13" s="766"/>
      <c r="B13" s="766"/>
      <c r="C13" s="766"/>
      <c r="D13" s="766"/>
      <c r="E13" s="1284"/>
      <c r="F13" s="1284"/>
      <c r="G13" s="1284"/>
      <c r="H13" s="1284"/>
      <c r="I13" s="1286"/>
      <c r="J13" s="1285"/>
      <c r="K13" s="766"/>
      <c r="L13" s="767"/>
      <c r="P13" s="1287"/>
      <c r="Q13" s="1287"/>
      <c r="R13" s="205"/>
      <c r="S13" s="739"/>
      <c r="T13" s="163" t="s">
        <v>465</v>
      </c>
      <c r="U13" s="210"/>
      <c r="V13" s="210"/>
      <c r="W13" s="210"/>
      <c r="X13" s="210"/>
      <c r="Y13" s="210"/>
      <c r="Z13" s="210"/>
      <c r="AA13" s="210"/>
      <c r="AB13" s="210"/>
      <c r="AC13" s="210"/>
      <c r="AD13" s="825"/>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187"/>
      <c r="BC13" s="1308"/>
      <c r="BE13" s="66"/>
      <c r="BF13" s="66" t="str">
        <f t="shared" si="1"/>
        <v>Добавить строку</v>
      </c>
      <c r="BG13" s="66"/>
      <c r="BH13" s="66"/>
      <c r="BI13" s="10">
        <v>0</v>
      </c>
    </row>
    <row r="14" spans="1:61" s="65" customFormat="1" ht="14.25" hidden="1" customHeight="1">
      <c r="A14" s="142"/>
      <c r="B14" s="142"/>
      <c r="C14" s="142"/>
      <c r="D14" s="142"/>
      <c r="E14" s="1284"/>
      <c r="F14" s="1284"/>
      <c r="G14" s="1284"/>
      <c r="H14" s="1284"/>
      <c r="I14" s="1285"/>
      <c r="J14" s="142"/>
      <c r="K14" s="142"/>
      <c r="L14" s="343"/>
      <c r="M14" s="287"/>
      <c r="N14" s="287"/>
      <c r="O14" s="287"/>
      <c r="P14" s="1287"/>
      <c r="Q14" s="119"/>
      <c r="R14" s="205"/>
      <c r="S14" s="779"/>
      <c r="T14" s="780"/>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c r="AT14" s="781"/>
      <c r="AU14" s="781"/>
      <c r="AV14" s="781"/>
      <c r="AW14" s="781"/>
      <c r="AX14" s="781"/>
      <c r="AY14" s="781"/>
      <c r="AZ14" s="781"/>
      <c r="BA14" s="781"/>
      <c r="BB14" s="781"/>
      <c r="BC14" s="782"/>
      <c r="BE14" s="66"/>
      <c r="BF14" s="66" t="str">
        <f t="shared" si="1"/>
        <v/>
      </c>
      <c r="BG14" s="66"/>
      <c r="BH14" s="66"/>
      <c r="BI14" s="65">
        <v>0</v>
      </c>
    </row>
    <row r="15" spans="1:61" s="65" customFormat="1" ht="14.25" hidden="1" customHeight="1">
      <c r="A15" s="142"/>
      <c r="B15" s="142"/>
      <c r="C15" s="142"/>
      <c r="D15" s="142"/>
      <c r="E15" s="1284"/>
      <c r="F15" s="1284"/>
      <c r="G15" s="1284"/>
      <c r="H15" s="1283"/>
      <c r="I15" s="142"/>
      <c r="J15" s="142"/>
      <c r="K15" s="142"/>
      <c r="L15" s="343"/>
      <c r="M15" s="290"/>
      <c r="N15" s="290"/>
      <c r="P15" s="101"/>
      <c r="Q15" s="752"/>
      <c r="R15" s="793"/>
      <c r="S15" s="779"/>
      <c r="T15" s="780"/>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c r="AT15" s="781"/>
      <c r="AU15" s="781"/>
      <c r="AV15" s="781"/>
      <c r="AW15" s="781"/>
      <c r="AX15" s="781"/>
      <c r="AY15" s="781"/>
      <c r="AZ15" s="781"/>
      <c r="BA15" s="781"/>
      <c r="BB15" s="781"/>
      <c r="BC15" s="782"/>
      <c r="BE15" s="66"/>
      <c r="BF15" s="66" t="str">
        <f t="shared" si="1"/>
        <v/>
      </c>
      <c r="BG15" s="66"/>
      <c r="BH15" s="66"/>
      <c r="BI15" s="65">
        <v>0</v>
      </c>
    </row>
    <row r="16" spans="1:61" s="65" customFormat="1" ht="14.25" hidden="1" customHeight="1">
      <c r="A16" s="142"/>
      <c r="B16" s="142"/>
      <c r="C16" s="142"/>
      <c r="D16" s="142"/>
      <c r="E16" s="1284"/>
      <c r="F16" s="1284"/>
      <c r="G16" s="1283"/>
      <c r="H16" s="142"/>
      <c r="I16" s="142"/>
      <c r="J16" s="142"/>
      <c r="K16" s="142"/>
      <c r="L16" s="343"/>
      <c r="M16" s="290"/>
      <c r="N16" s="290"/>
      <c r="P16" s="101"/>
      <c r="Q16" s="752"/>
      <c r="R16" s="101"/>
      <c r="S16" s="757"/>
      <c r="T16" s="759"/>
      <c r="U16" s="310"/>
      <c r="V16" s="310"/>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E16" s="66"/>
      <c r="BF16" s="66" t="str">
        <f t="shared" si="1"/>
        <v/>
      </c>
      <c r="BG16" s="66"/>
      <c r="BH16" s="66"/>
      <c r="BI16" s="65">
        <v>0</v>
      </c>
    </row>
    <row r="17" spans="1:61" s="65" customFormat="1" ht="14.25" hidden="1" customHeight="1">
      <c r="A17" s="142"/>
      <c r="B17" s="142"/>
      <c r="C17" s="142"/>
      <c r="D17" s="142"/>
      <c r="E17" s="1284"/>
      <c r="F17" s="1283"/>
      <c r="G17" s="142"/>
      <c r="H17" s="142"/>
      <c r="I17" s="142"/>
      <c r="J17" s="142"/>
      <c r="K17" s="142"/>
      <c r="L17" s="343"/>
      <c r="M17" s="756"/>
      <c r="N17" s="756"/>
      <c r="P17" s="101"/>
      <c r="Q17" s="752"/>
      <c r="R17" s="101"/>
      <c r="S17" s="757"/>
      <c r="T17" s="759" t="s">
        <v>231</v>
      </c>
      <c r="U17" s="310"/>
      <c r="V17" s="310"/>
      <c r="W17" s="310"/>
      <c r="X17" s="310"/>
      <c r="Y17" s="310"/>
      <c r="Z17" s="310"/>
      <c r="AA17" s="310"/>
      <c r="AB17" s="310"/>
      <c r="AC17" s="310"/>
      <c r="AD17" s="310"/>
      <c r="AE17" s="310"/>
      <c r="AF17" s="310"/>
      <c r="AG17" s="310"/>
      <c r="AH17" s="310"/>
      <c r="AI17" s="310"/>
      <c r="AJ17" s="310"/>
      <c r="AK17" s="310"/>
      <c r="AL17" s="310"/>
      <c r="AM17" s="310"/>
      <c r="AN17" s="310"/>
      <c r="AO17" s="310"/>
      <c r="AP17" s="310"/>
      <c r="AQ17" s="310"/>
      <c r="AR17" s="310"/>
      <c r="AS17" s="310"/>
      <c r="AT17" s="310"/>
      <c r="AU17" s="310"/>
      <c r="AV17" s="310"/>
      <c r="AW17" s="310"/>
      <c r="AX17" s="310"/>
      <c r="AY17" s="310"/>
      <c r="AZ17" s="310"/>
      <c r="BA17" s="310"/>
      <c r="BB17" s="310"/>
      <c r="BC17" s="310"/>
      <c r="BE17" s="66"/>
      <c r="BF17" s="66" t="str">
        <f t="shared" si="1"/>
        <v>Добавить централизованную систему для дифференциации</v>
      </c>
      <c r="BG17" s="66"/>
      <c r="BH17" s="66"/>
      <c r="BI17" s="65">
        <v>0</v>
      </c>
    </row>
    <row r="18" spans="1:61" s="65" customFormat="1" ht="14.25" hidden="1" customHeight="1">
      <c r="A18" s="142"/>
      <c r="B18" s="142"/>
      <c r="C18" s="142"/>
      <c r="D18" s="142"/>
      <c r="E18" s="1283"/>
      <c r="F18" s="142"/>
      <c r="G18" s="142"/>
      <c r="H18" s="142"/>
      <c r="I18" s="142"/>
      <c r="J18" s="142"/>
      <c r="K18" s="142"/>
      <c r="L18" s="343"/>
      <c r="M18" s="756"/>
      <c r="N18" s="756"/>
      <c r="P18" s="101"/>
      <c r="Q18" s="752"/>
      <c r="R18" s="101"/>
      <c r="S18" s="757"/>
      <c r="T18" s="759" t="s">
        <v>232</v>
      </c>
      <c r="U18" s="310"/>
      <c r="V18" s="310"/>
      <c r="W18" s="310"/>
      <c r="X18" s="310"/>
      <c r="Y18" s="310"/>
      <c r="Z18" s="310"/>
      <c r="AA18" s="310"/>
      <c r="AB18" s="310"/>
      <c r="AC18" s="310"/>
      <c r="AD18" s="310"/>
      <c r="AE18" s="310"/>
      <c r="AF18" s="310"/>
      <c r="AG18" s="310"/>
      <c r="AH18" s="310"/>
      <c r="AI18" s="310"/>
      <c r="AJ18" s="310"/>
      <c r="AK18" s="310"/>
      <c r="AL18" s="310"/>
      <c r="AM18" s="310"/>
      <c r="AN18" s="310"/>
      <c r="AO18" s="310"/>
      <c r="AP18" s="310"/>
      <c r="AQ18" s="310"/>
      <c r="AR18" s="310"/>
      <c r="AS18" s="310"/>
      <c r="AT18" s="310"/>
      <c r="AU18" s="310"/>
      <c r="AV18" s="310"/>
      <c r="AW18" s="310"/>
      <c r="AX18" s="310"/>
      <c r="AY18" s="310"/>
      <c r="AZ18" s="310"/>
      <c r="BA18" s="310"/>
      <c r="BB18" s="310"/>
      <c r="BC18" s="310"/>
      <c r="BE18" s="66"/>
      <c r="BF18" s="66" t="str">
        <f t="shared" si="1"/>
        <v>Добавить территорию для дифференциации</v>
      </c>
      <c r="BG18" s="66"/>
      <c r="BH18" s="66"/>
      <c r="BI18" s="65">
        <v>0</v>
      </c>
    </row>
    <row r="19" spans="1:61" ht="14.25" hidden="1" customHeight="1">
      <c r="BI19" s="10">
        <v>0</v>
      </c>
    </row>
    <row r="20" spans="1:61" ht="14.25" hidden="1" customHeight="1">
      <c r="AD20" s="310" t="s">
        <v>19</v>
      </c>
      <c r="AE20" s="822"/>
      <c r="AF20" s="310">
        <v>1</v>
      </c>
      <c r="AG20" s="823"/>
      <c r="AH20" s="310" t="s">
        <v>19</v>
      </c>
      <c r="AI20" s="822"/>
      <c r="AJ20" s="310">
        <v>1</v>
      </c>
      <c r="AK20" s="823"/>
      <c r="AL20" s="310" t="s">
        <v>19</v>
      </c>
      <c r="AM20" s="824"/>
      <c r="AN20" s="310">
        <v>1</v>
      </c>
      <c r="AO20" s="124"/>
      <c r="AP20" s="310" t="s">
        <v>19</v>
      </c>
      <c r="AQ20" s="824"/>
      <c r="AR20" s="310">
        <v>1</v>
      </c>
      <c r="AS20" s="124"/>
      <c r="AT20" s="188"/>
      <c r="AU20" s="216"/>
      <c r="AV20" s="188"/>
      <c r="AW20" s="216"/>
      <c r="AX20" s="944"/>
      <c r="AY20" s="814" t="s">
        <v>64</v>
      </c>
      <c r="AZ20" s="944"/>
      <c r="BA20" s="814" t="s">
        <v>64</v>
      </c>
      <c r="BI20" s="10">
        <v>0</v>
      </c>
    </row>
    <row r="21" spans="1:61" ht="14.25" hidden="1" customHeight="1">
      <c r="BD21" s="200"/>
      <c r="BE21" s="200"/>
      <c r="BF21" s="200"/>
      <c r="BG21" s="200"/>
      <c r="BH21" s="200"/>
      <c r="BI21" s="10">
        <v>0</v>
      </c>
    </row>
    <row r="22" spans="1:61" ht="14.25" hidden="1" customHeight="1">
      <c r="O22" s="768" t="s">
        <v>415</v>
      </c>
      <c r="Z22" s="761"/>
      <c r="AB22" s="761"/>
      <c r="AX22" s="761"/>
      <c r="AZ22" s="761"/>
      <c r="BD22" s="200"/>
      <c r="BE22" s="200"/>
      <c r="BF22" s="200"/>
      <c r="BG22" s="200"/>
      <c r="BH22" s="200"/>
      <c r="BI22" s="10">
        <v>0</v>
      </c>
    </row>
    <row r="23" spans="1:61" ht="14.25" hidden="1" customHeight="1">
      <c r="BD23" s="200"/>
      <c r="BE23" s="200"/>
      <c r="BF23" s="200"/>
      <c r="BG23" s="200"/>
      <c r="BH23" s="200"/>
      <c r="BI23" s="10">
        <v>0</v>
      </c>
    </row>
    <row r="24" spans="1:61" s="827" customFormat="1" ht="14.25" hidden="1" customHeight="1">
      <c r="M24" s="828"/>
      <c r="N24" s="828"/>
      <c r="O24" s="827" t="s">
        <v>416</v>
      </c>
      <c r="P24" s="828"/>
      <c r="Q24" s="829"/>
      <c r="R24" s="829"/>
      <c r="AA24" s="827" t="s">
        <v>418</v>
      </c>
      <c r="AC24" s="827" t="s">
        <v>419</v>
      </c>
      <c r="AD24" s="827" t="s">
        <v>466</v>
      </c>
      <c r="AH24" s="827" t="s">
        <v>466</v>
      </c>
      <c r="AK24" s="827" t="s">
        <v>505</v>
      </c>
      <c r="AL24" s="827" t="s">
        <v>466</v>
      </c>
      <c r="AP24" s="827" t="s">
        <v>466</v>
      </c>
      <c r="AY24" s="827" t="s">
        <v>418</v>
      </c>
      <c r="BA24" s="827" t="s">
        <v>419</v>
      </c>
      <c r="BD24" s="830"/>
      <c r="BE24" s="830"/>
      <c r="BF24" s="830"/>
      <c r="BG24" s="830"/>
      <c r="BH24" s="830"/>
      <c r="BI24" s="827">
        <v>0</v>
      </c>
    </row>
    <row r="25" spans="1:61" ht="14.25" hidden="1" customHeight="1">
      <c r="O25" s="767"/>
      <c r="BD25" s="200"/>
      <c r="BE25" s="200"/>
      <c r="BF25" s="200"/>
      <c r="BG25" s="200"/>
      <c r="BH25" s="200"/>
      <c r="BI25" s="10">
        <v>0</v>
      </c>
    </row>
    <row r="26" spans="1:61" ht="14.25" hidden="1" customHeight="1">
      <c r="O26" s="767"/>
      <c r="BD26" s="200"/>
      <c r="BE26" s="200"/>
      <c r="BF26" s="200"/>
      <c r="BG26" s="200"/>
      <c r="BH26" s="200"/>
      <c r="BI26" s="10">
        <v>0</v>
      </c>
    </row>
    <row r="27" spans="1:61" ht="14.65" customHeight="1">
      <c r="Q27" s="165"/>
      <c r="R27" s="27"/>
      <c r="S27" s="736"/>
      <c r="T27" s="9"/>
      <c r="U27" s="9"/>
      <c r="BI27" s="10">
        <v>14</v>
      </c>
    </row>
    <row r="28" spans="1:61" ht="14.65" customHeight="1">
      <c r="Q28" s="165"/>
      <c r="R28" s="27"/>
      <c r="S28" s="126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4"/>
      <c r="U28" s="1264"/>
      <c r="V28" s="1264"/>
      <c r="W28" s="1264"/>
      <c r="X28" s="1264"/>
      <c r="Y28" s="1264"/>
      <c r="Z28" s="1264"/>
      <c r="AA28" s="1264"/>
      <c r="AB28" s="1264"/>
      <c r="AC28" s="1264"/>
      <c r="AD28" s="1264"/>
      <c r="AE28" s="1264"/>
      <c r="AF28" s="1264"/>
      <c r="AG28" s="1264"/>
      <c r="AH28" s="1264"/>
      <c r="AI28" s="1264"/>
      <c r="AJ28" s="1264"/>
      <c r="AK28" s="1264"/>
      <c r="AL28" s="1264"/>
      <c r="AM28" s="1264"/>
      <c r="AN28" s="1264"/>
      <c r="AO28" s="1264"/>
      <c r="AP28" s="1264"/>
      <c r="AQ28" s="1264"/>
      <c r="AR28" s="1264"/>
      <c r="AS28" s="1264"/>
      <c r="AT28" s="1264"/>
      <c r="AU28" s="1264"/>
      <c r="AV28" s="1264"/>
      <c r="AW28" s="1264"/>
      <c r="AX28" s="1264"/>
      <c r="AY28" s="1264"/>
      <c r="AZ28" s="1264"/>
      <c r="BA28" s="57"/>
      <c r="BI28" s="10">
        <v>14</v>
      </c>
    </row>
    <row r="29" spans="1:61" ht="14.65" customHeight="1">
      <c r="Q29" s="165"/>
      <c r="R29" s="27"/>
      <c r="S29" s="1236" t="str">
        <f>IF(org=0,"Не определено",org)</f>
        <v>Общество с ограниченной ответственностью "Березовский рудник"</v>
      </c>
      <c r="T29" s="1236"/>
      <c r="U29" s="1236"/>
      <c r="V29" s="1236"/>
      <c r="W29" s="1236"/>
      <c r="X29" s="1236"/>
      <c r="Y29" s="1236"/>
      <c r="Z29" s="1236"/>
      <c r="AA29" s="1236"/>
      <c r="AB29" s="1236"/>
      <c r="AC29" s="1236"/>
      <c r="AD29" s="1236"/>
      <c r="AE29" s="1236"/>
      <c r="AF29" s="1236"/>
      <c r="AG29" s="1236"/>
      <c r="AH29" s="1236"/>
      <c r="AI29" s="1236"/>
      <c r="AJ29" s="1236"/>
      <c r="AK29" s="1236"/>
      <c r="AL29" s="1236"/>
      <c r="AM29" s="1236"/>
      <c r="AN29" s="1236"/>
      <c r="AO29" s="1236"/>
      <c r="AP29" s="1236"/>
      <c r="AQ29" s="1236"/>
      <c r="AR29" s="1236"/>
      <c r="AS29" s="1236"/>
      <c r="AT29" s="1236"/>
      <c r="AU29" s="1236"/>
      <c r="AV29" s="1236"/>
      <c r="AW29" s="1236"/>
      <c r="AX29" s="1236"/>
      <c r="AY29" s="1236"/>
      <c r="AZ29" s="1236"/>
      <c r="BA29" s="57"/>
      <c r="BI29" s="10">
        <v>14</v>
      </c>
    </row>
    <row r="30" spans="1:61" ht="14.25" hidden="1" customHeight="1">
      <c r="Q30" s="165"/>
      <c r="R30" s="27"/>
      <c r="S30" s="736"/>
      <c r="T30" s="9"/>
      <c r="U30" s="9"/>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I30" s="10">
        <v>0</v>
      </c>
    </row>
    <row r="31" spans="1:61" s="34" customFormat="1" ht="25.5" hidden="1" customHeight="1">
      <c r="A31" s="79"/>
      <c r="B31" s="79"/>
      <c r="C31" s="79"/>
      <c r="D31" s="79"/>
      <c r="E31" s="79"/>
      <c r="F31" s="79"/>
      <c r="G31" s="79"/>
      <c r="H31" s="79"/>
      <c r="I31" s="79"/>
      <c r="J31" s="79"/>
      <c r="K31" s="79"/>
      <c r="L31" s="767"/>
      <c r="M31" s="79"/>
      <c r="N31" s="79"/>
      <c r="O31" s="79"/>
      <c r="P31" s="79"/>
      <c r="Q31" s="79"/>
      <c r="S31" s="1274" t="s">
        <v>41</v>
      </c>
      <c r="T31" s="1274"/>
      <c r="U31" s="770"/>
      <c r="V31" s="1276" t="str">
        <f>IF(TITLE_NAME_OR_PR_CHANGE="",IF(TITLE_NAME_OR_PR="","",TITLE_NAME_OR_PR),TITLE_NAME_OR_PR_CHANGE)</f>
        <v/>
      </c>
      <c r="W31" s="1276"/>
      <c r="X31" s="1276"/>
      <c r="Y31" s="1276"/>
      <c r="Z31" s="1276"/>
      <c r="AA31" s="1276"/>
      <c r="AB31" s="1276"/>
      <c r="AC31" s="10"/>
      <c r="AD31" s="1276" t="str">
        <f>IF(TITLE_NAME_OR_PR_CHANGE="",IF(TITLE_NAME_OR_PR="","",TITLE_NAME_OR_PR),TITLE_NAME_OR_PR_CHANGE)</f>
        <v/>
      </c>
      <c r="AE31" s="1276"/>
      <c r="AF31" s="1276"/>
      <c r="AG31" s="1276"/>
      <c r="AH31" s="1276"/>
      <c r="AI31" s="1276"/>
      <c r="AJ31" s="1276"/>
      <c r="AK31" s="1276"/>
      <c r="AL31" s="1276"/>
      <c r="AM31" s="1276"/>
      <c r="AN31" s="1276"/>
      <c r="AO31" s="1276"/>
      <c r="AP31" s="1276"/>
      <c r="AQ31" s="1276"/>
      <c r="AR31" s="1276"/>
      <c r="AS31" s="1276"/>
      <c r="AT31" s="1276"/>
      <c r="AU31" s="1276"/>
      <c r="AV31" s="1276"/>
      <c r="AW31" s="1276"/>
      <c r="AX31" s="1276"/>
      <c r="AY31" s="1276"/>
      <c r="AZ31" s="1276"/>
      <c r="BA31" s="10"/>
      <c r="BB31" s="10"/>
      <c r="BC31" s="160"/>
      <c r="BD31" s="66"/>
      <c r="BE31" s="66"/>
      <c r="BF31" s="66"/>
      <c r="BG31" s="66"/>
      <c r="BH31" s="66"/>
      <c r="BI31" s="34">
        <v>0</v>
      </c>
    </row>
    <row r="32" spans="1:61" s="34" customFormat="1" ht="18.75" hidden="1" customHeight="1">
      <c r="A32" s="79"/>
      <c r="B32" s="79"/>
      <c r="C32" s="79"/>
      <c r="D32" s="79"/>
      <c r="E32" s="79"/>
      <c r="F32" s="79"/>
      <c r="G32" s="79"/>
      <c r="H32" s="79"/>
      <c r="I32" s="79"/>
      <c r="J32" s="79"/>
      <c r="K32" s="79"/>
      <c r="L32" s="767"/>
      <c r="M32" s="79"/>
      <c r="N32" s="79"/>
      <c r="O32" s="79"/>
      <c r="P32" s="79"/>
      <c r="Q32" s="79"/>
      <c r="S32" s="1274" t="s">
        <v>421</v>
      </c>
      <c r="T32" s="1274"/>
      <c r="U32" s="770"/>
      <c r="V32" s="1275">
        <f>IF(TITLE_DATE_PR_CHANGE="",IF(TITLE_DATE_PR="","",TITLE_DATE_PR),TITLE_DATE_PR_CHANGE)</f>
        <v>45805</v>
      </c>
      <c r="W32" s="1275"/>
      <c r="X32" s="1275"/>
      <c r="Y32" s="1275"/>
      <c r="Z32" s="1275"/>
      <c r="AA32" s="1275"/>
      <c r="AB32" s="1275"/>
      <c r="AC32" s="10"/>
      <c r="AD32" s="1275">
        <f>IF(TITLE_DATE_PR_CHANGE="",IF(TITLE_DATE_PR="","",TITLE_DATE_PR),TITLE_DATE_PR_CHANGE)</f>
        <v>45805</v>
      </c>
      <c r="AE32" s="1275"/>
      <c r="AF32" s="1275"/>
      <c r="AG32" s="1275"/>
      <c r="AH32" s="1275"/>
      <c r="AI32" s="1275"/>
      <c r="AJ32" s="1275"/>
      <c r="AK32" s="1275"/>
      <c r="AL32" s="1275"/>
      <c r="AM32" s="1275"/>
      <c r="AN32" s="1275"/>
      <c r="AO32" s="1275"/>
      <c r="AP32" s="1275"/>
      <c r="AQ32" s="1275"/>
      <c r="AR32" s="1275"/>
      <c r="AS32" s="1275"/>
      <c r="AT32" s="1275"/>
      <c r="AU32" s="1275"/>
      <c r="AV32" s="1275"/>
      <c r="AW32" s="1275"/>
      <c r="AX32" s="1275"/>
      <c r="AY32" s="1275"/>
      <c r="AZ32" s="1275"/>
      <c r="BA32" s="10"/>
      <c r="BB32" s="10"/>
      <c r="BC32" s="160"/>
      <c r="BD32" s="66"/>
      <c r="BE32" s="66"/>
      <c r="BF32" s="66"/>
      <c r="BG32" s="66"/>
      <c r="BH32" s="66"/>
      <c r="BI32" s="34">
        <v>0</v>
      </c>
    </row>
    <row r="33" spans="1:61" s="34" customFormat="1" ht="18.75" hidden="1" customHeight="1">
      <c r="A33" s="79"/>
      <c r="B33" s="79"/>
      <c r="C33" s="79"/>
      <c r="D33" s="79"/>
      <c r="E33" s="79"/>
      <c r="F33" s="79"/>
      <c r="G33" s="79"/>
      <c r="H33" s="79"/>
      <c r="I33" s="79"/>
      <c r="J33" s="79"/>
      <c r="K33" s="79"/>
      <c r="L33" s="767"/>
      <c r="M33" s="79"/>
      <c r="N33" s="79"/>
      <c r="O33" s="79"/>
      <c r="P33" s="79"/>
      <c r="Q33" s="79"/>
      <c r="S33" s="1274" t="s">
        <v>422</v>
      </c>
      <c r="T33" s="1274"/>
      <c r="U33" s="770"/>
      <c r="V33" s="1276" t="str">
        <f>IF(TITLE_NUMBER_PR_CHANGE="",IF(TITLE_NUMBER_PR="","",TITLE_NUMBER_PR),TITLE_NUMBER_PR_CHANGE)</f>
        <v>2496</v>
      </c>
      <c r="W33" s="1276"/>
      <c r="X33" s="1276"/>
      <c r="Y33" s="1276"/>
      <c r="Z33" s="1276"/>
      <c r="AA33" s="1276"/>
      <c r="AB33" s="1276"/>
      <c r="AC33" s="10"/>
      <c r="AD33" s="1276" t="str">
        <f>IF(TITLE_NUMBER_PR_CHANGE="",IF(TITLE_NUMBER_PR="","",TITLE_NUMBER_PR),TITLE_NUMBER_PR_CHANGE)</f>
        <v>2496</v>
      </c>
      <c r="AE33" s="1276"/>
      <c r="AF33" s="1276"/>
      <c r="AG33" s="1276"/>
      <c r="AH33" s="1276"/>
      <c r="AI33" s="1276"/>
      <c r="AJ33" s="1276"/>
      <c r="AK33" s="1276"/>
      <c r="AL33" s="1276"/>
      <c r="AM33" s="1276"/>
      <c r="AN33" s="1276"/>
      <c r="AO33" s="1276"/>
      <c r="AP33" s="1276"/>
      <c r="AQ33" s="1276"/>
      <c r="AR33" s="1276"/>
      <c r="AS33" s="1276"/>
      <c r="AT33" s="1276"/>
      <c r="AU33" s="1276"/>
      <c r="AV33" s="1276"/>
      <c r="AW33" s="1276"/>
      <c r="AX33" s="1276"/>
      <c r="AY33" s="1276"/>
      <c r="AZ33" s="1276"/>
      <c r="BA33" s="10"/>
      <c r="BB33" s="10"/>
      <c r="BC33" s="160"/>
      <c r="BD33" s="66"/>
      <c r="BE33" s="66"/>
      <c r="BF33" s="66"/>
      <c r="BG33" s="66"/>
      <c r="BH33" s="66"/>
      <c r="BI33" s="34">
        <v>0</v>
      </c>
    </row>
    <row r="34" spans="1:61" s="34" customFormat="1" ht="18.75" hidden="1" customHeight="1">
      <c r="A34" s="79"/>
      <c r="B34" s="79"/>
      <c r="C34" s="79"/>
      <c r="D34" s="79"/>
      <c r="E34" s="79"/>
      <c r="F34" s="79"/>
      <c r="G34" s="79"/>
      <c r="H34" s="79"/>
      <c r="I34" s="79"/>
      <c r="J34" s="79"/>
      <c r="K34" s="79"/>
      <c r="L34" s="767"/>
      <c r="M34" s="79"/>
      <c r="N34" s="79"/>
      <c r="O34" s="79"/>
      <c r="P34" s="79"/>
      <c r="Q34" s="79"/>
      <c r="S34" s="1274" t="s">
        <v>42</v>
      </c>
      <c r="T34" s="1274"/>
      <c r="U34" s="770"/>
      <c r="V34" s="1276" t="str">
        <f>IF(TITLE_IST_PUB_CHANGE="",IF(TITLE_IST_PUB="","",TITLE_IST_PUB),TITLE_IST_PUB_CHANGE)</f>
        <v/>
      </c>
      <c r="W34" s="1276"/>
      <c r="X34" s="1276"/>
      <c r="Y34" s="1276"/>
      <c r="Z34" s="1276"/>
      <c r="AA34" s="1276"/>
      <c r="AB34" s="1276"/>
      <c r="AC34" s="10"/>
      <c r="AD34" s="1276" t="str">
        <f>IF(TITLE_IST_PUB_CHANGE="",IF(TITLE_IST_PUB="","",TITLE_IST_PUB),TITLE_IST_PUB_CHANGE)</f>
        <v/>
      </c>
      <c r="AE34" s="1276"/>
      <c r="AF34" s="1276"/>
      <c r="AG34" s="1276"/>
      <c r="AH34" s="1276"/>
      <c r="AI34" s="1276"/>
      <c r="AJ34" s="1276"/>
      <c r="AK34" s="1276"/>
      <c r="AL34" s="1276"/>
      <c r="AM34" s="1276"/>
      <c r="AN34" s="1276"/>
      <c r="AO34" s="1276"/>
      <c r="AP34" s="1276"/>
      <c r="AQ34" s="1276"/>
      <c r="AR34" s="1276"/>
      <c r="AS34" s="1276"/>
      <c r="AT34" s="1276"/>
      <c r="AU34" s="1276"/>
      <c r="AV34" s="1276"/>
      <c r="AW34" s="1276"/>
      <c r="AX34" s="1276"/>
      <c r="AY34" s="1276"/>
      <c r="AZ34" s="1276"/>
      <c r="BA34" s="10"/>
      <c r="BB34" s="10"/>
      <c r="BC34" s="160"/>
      <c r="BD34" s="66"/>
      <c r="BE34" s="66"/>
      <c r="BF34" s="66"/>
      <c r="BG34" s="66"/>
      <c r="BH34" s="66"/>
      <c r="BI34" s="34">
        <v>0</v>
      </c>
    </row>
    <row r="35" spans="1:61" ht="14.25" customHeight="1">
      <c r="Q35" s="165"/>
      <c r="R35" s="27"/>
      <c r="S35" s="736"/>
      <c r="T35" s="9"/>
      <c r="U35" s="9"/>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I35" s="10">
        <v>0</v>
      </c>
    </row>
    <row r="36" spans="1:61" s="34" customFormat="1" ht="18.75" customHeight="1">
      <c r="A36" s="79"/>
      <c r="B36" s="79"/>
      <c r="C36" s="79"/>
      <c r="D36" s="79"/>
      <c r="E36" s="79"/>
      <c r="F36" s="79"/>
      <c r="G36" s="79"/>
      <c r="H36" s="79"/>
      <c r="I36" s="79"/>
      <c r="J36" s="79"/>
      <c r="K36" s="79"/>
      <c r="L36" s="767"/>
      <c r="M36" s="79"/>
      <c r="N36" s="79"/>
      <c r="O36" s="79"/>
      <c r="P36" s="79"/>
      <c r="Q36" s="79"/>
      <c r="S36" s="1274" t="s">
        <v>421</v>
      </c>
      <c r="T36" s="1274"/>
      <c r="U36" s="770"/>
      <c r="V36" s="1275">
        <f>IF(TITLE_DATE_PR_CHANGE="",IF(TITLE_DATE_PR="","",TITLE_DATE_PR),TITLE_DATE_PR_CHANGE)</f>
        <v>45805</v>
      </c>
      <c r="W36" s="1275"/>
      <c r="X36" s="1275"/>
      <c r="Y36" s="1275"/>
      <c r="Z36" s="1275"/>
      <c r="AA36" s="1275"/>
      <c r="AB36" s="1275"/>
      <c r="AC36" s="10"/>
      <c r="AD36" s="1275">
        <f>IF(TITLE_DATE_PR_CHANGE="",IF(TITLE_DATE_PR="","",TITLE_DATE_PR),TITLE_DATE_PR_CHANGE)</f>
        <v>45805</v>
      </c>
      <c r="AE36" s="1275"/>
      <c r="AF36" s="1275"/>
      <c r="AG36" s="1275"/>
      <c r="AH36" s="1275"/>
      <c r="AI36" s="1275"/>
      <c r="AJ36" s="1275"/>
      <c r="AK36" s="1275"/>
      <c r="AL36" s="1275"/>
      <c r="AM36" s="1275"/>
      <c r="AN36" s="1275"/>
      <c r="AO36" s="1275"/>
      <c r="AP36" s="1275"/>
      <c r="AQ36" s="1275"/>
      <c r="AR36" s="1275"/>
      <c r="AS36" s="1275"/>
      <c r="AT36" s="1275"/>
      <c r="AU36" s="1275"/>
      <c r="AV36" s="1275"/>
      <c r="AW36" s="1275"/>
      <c r="AX36" s="1275"/>
      <c r="AY36" s="1275"/>
      <c r="AZ36" s="1275"/>
      <c r="BA36" s="10"/>
      <c r="BB36" s="10"/>
      <c r="BC36" s="160"/>
      <c r="BD36" s="66"/>
      <c r="BE36" s="66"/>
      <c r="BF36" s="66"/>
      <c r="BG36" s="66"/>
      <c r="BH36" s="66"/>
      <c r="BI36" s="34">
        <v>0</v>
      </c>
    </row>
    <row r="37" spans="1:61" s="34" customFormat="1" ht="18.75" customHeight="1">
      <c r="A37" s="79"/>
      <c r="B37" s="79"/>
      <c r="C37" s="79"/>
      <c r="D37" s="79"/>
      <c r="E37" s="79"/>
      <c r="F37" s="79"/>
      <c r="G37" s="79"/>
      <c r="H37" s="79"/>
      <c r="I37" s="79"/>
      <c r="J37" s="79"/>
      <c r="K37" s="79"/>
      <c r="L37" s="767"/>
      <c r="M37" s="79"/>
      <c r="N37" s="79"/>
      <c r="O37" s="79"/>
      <c r="P37" s="79"/>
      <c r="Q37" s="79"/>
      <c r="S37" s="1274" t="s">
        <v>422</v>
      </c>
      <c r="T37" s="1274"/>
      <c r="U37" s="770"/>
      <c r="V37" s="1276" t="str">
        <f>IF(TITLE_NUMBER_PR_CHANGE="",IF(TITLE_NUMBER_PR="","",TITLE_NUMBER_PR),TITLE_NUMBER_PR_CHANGE)</f>
        <v>2496</v>
      </c>
      <c r="W37" s="1276"/>
      <c r="X37" s="1276"/>
      <c r="Y37" s="1276"/>
      <c r="Z37" s="1276"/>
      <c r="AA37" s="1276"/>
      <c r="AB37" s="1276"/>
      <c r="AC37" s="10"/>
      <c r="AD37" s="1276" t="str">
        <f>IF(TITLE_NUMBER_PR_CHANGE="",IF(TITLE_NUMBER_PR="","",TITLE_NUMBER_PR),TITLE_NUMBER_PR_CHANGE)</f>
        <v>2496</v>
      </c>
      <c r="AE37" s="1276"/>
      <c r="AF37" s="1276"/>
      <c r="AG37" s="1276"/>
      <c r="AH37" s="1276"/>
      <c r="AI37" s="1276"/>
      <c r="AJ37" s="1276"/>
      <c r="AK37" s="1276"/>
      <c r="AL37" s="1276"/>
      <c r="AM37" s="1276"/>
      <c r="AN37" s="1276"/>
      <c r="AO37" s="1276"/>
      <c r="AP37" s="1276"/>
      <c r="AQ37" s="1276"/>
      <c r="AR37" s="1276"/>
      <c r="AS37" s="1276"/>
      <c r="AT37" s="1276"/>
      <c r="AU37" s="1276"/>
      <c r="AV37" s="1276"/>
      <c r="AW37" s="1276"/>
      <c r="AX37" s="1276"/>
      <c r="AY37" s="1276"/>
      <c r="AZ37" s="1276"/>
      <c r="BA37" s="10"/>
      <c r="BB37" s="10"/>
      <c r="BC37" s="160"/>
      <c r="BD37" s="66"/>
      <c r="BE37" s="66"/>
      <c r="BF37" s="66"/>
      <c r="BG37" s="66"/>
      <c r="BH37" s="66"/>
      <c r="BI37" s="34">
        <v>0</v>
      </c>
    </row>
    <row r="38" spans="1:61" s="34" customFormat="1" ht="0" hidden="1" customHeight="1">
      <c r="A38" s="79"/>
      <c r="B38" s="79"/>
      <c r="C38" s="79"/>
      <c r="D38" s="79"/>
      <c r="E38" s="79"/>
      <c r="F38" s="79"/>
      <c r="G38" s="79"/>
      <c r="H38" s="79"/>
      <c r="I38" s="79"/>
      <c r="J38" s="79"/>
      <c r="K38" s="79"/>
      <c r="L38" s="767"/>
      <c r="M38" s="79"/>
      <c r="N38" s="79"/>
      <c r="O38" s="79"/>
      <c r="P38" s="79"/>
      <c r="Q38" s="79"/>
      <c r="S38" s="10"/>
      <c r="T38" s="10"/>
      <c r="U38" s="75"/>
      <c r="V38" s="10"/>
      <c r="W38" s="10"/>
      <c r="X38" s="10"/>
      <c r="Y38" s="10"/>
      <c r="Z38" s="10"/>
      <c r="AA38" s="10"/>
      <c r="AB38" s="10"/>
      <c r="AC38" s="65" t="s">
        <v>425</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5" t="s">
        <v>425</v>
      </c>
      <c r="BD38" s="66"/>
      <c r="BE38" s="66"/>
      <c r="BF38" s="66"/>
      <c r="BG38" s="66"/>
      <c r="BH38" s="66"/>
      <c r="BI38" s="34">
        <v>0</v>
      </c>
    </row>
    <row r="39" spans="1:61" ht="14.65" customHeight="1">
      <c r="Q39" s="165"/>
      <c r="R39" s="27"/>
      <c r="S39" s="736"/>
      <c r="T39" s="9"/>
      <c r="U39" s="717"/>
      <c r="V39" s="1295"/>
      <c r="W39" s="1295"/>
      <c r="X39" s="1295"/>
      <c r="Y39" s="1295"/>
      <c r="Z39" s="1295"/>
      <c r="AA39" s="1295"/>
      <c r="AB39" s="1295"/>
      <c r="AC39" s="1295"/>
      <c r="AD39" s="1295"/>
      <c r="AE39" s="1295"/>
      <c r="AF39" s="1295"/>
      <c r="AG39" s="1295"/>
      <c r="AH39" s="1295"/>
      <c r="AI39" s="1295"/>
      <c r="AJ39" s="1295"/>
      <c r="AK39" s="1295"/>
      <c r="AL39" s="1295"/>
      <c r="AM39" s="1295"/>
      <c r="AN39" s="1295"/>
      <c r="AO39" s="1295"/>
      <c r="AP39" s="1295"/>
      <c r="AQ39" s="1295"/>
      <c r="AR39" s="1295"/>
      <c r="AS39" s="1295"/>
      <c r="AT39" s="1295"/>
      <c r="AU39" s="1295"/>
      <c r="AV39" s="1295"/>
      <c r="AW39" s="1295"/>
      <c r="AX39" s="1295"/>
      <c r="AY39" s="1295"/>
      <c r="AZ39" s="1295"/>
      <c r="BA39" s="1295"/>
      <c r="BI39" s="10">
        <v>14</v>
      </c>
    </row>
    <row r="40" spans="1:61" ht="14.65" customHeight="1">
      <c r="Q40" s="165"/>
      <c r="R40" s="27"/>
      <c r="S40" s="1146" t="s">
        <v>300</v>
      </c>
      <c r="T40" s="1146"/>
      <c r="U40" s="1146"/>
      <c r="V40" s="1146"/>
      <c r="W40" s="1146"/>
      <c r="X40" s="1146"/>
      <c r="Y40" s="1146"/>
      <c r="Z40" s="1146"/>
      <c r="AA40" s="1146"/>
      <c r="AB40" s="1146"/>
      <c r="AC40" s="1146"/>
      <c r="AD40" s="1146"/>
      <c r="AE40" s="1146"/>
      <c r="AF40" s="1146"/>
      <c r="AG40" s="1146"/>
      <c r="AH40" s="1146"/>
      <c r="AI40" s="1146"/>
      <c r="AJ40" s="1146"/>
      <c r="AK40" s="1146"/>
      <c r="AL40" s="1146"/>
      <c r="AM40" s="1146"/>
      <c r="AN40" s="1146"/>
      <c r="AO40" s="1146"/>
      <c r="AP40" s="1146"/>
      <c r="AQ40" s="1146"/>
      <c r="AR40" s="1146"/>
      <c r="AS40" s="1146"/>
      <c r="AT40" s="1146"/>
      <c r="AU40" s="1146"/>
      <c r="AV40" s="1146"/>
      <c r="AW40" s="1146"/>
      <c r="AX40" s="1146"/>
      <c r="AY40" s="1146"/>
      <c r="AZ40" s="1146"/>
      <c r="BA40" s="1146"/>
      <c r="BB40" s="1146"/>
      <c r="BC40" s="1146" t="s">
        <v>301</v>
      </c>
      <c r="BI40" s="10">
        <v>14</v>
      </c>
    </row>
    <row r="41" spans="1:61" ht="14.65" customHeight="1">
      <c r="Q41" s="165"/>
      <c r="R41" s="27"/>
      <c r="S41" s="1296" t="s">
        <v>86</v>
      </c>
      <c r="T41" s="1244" t="s">
        <v>506</v>
      </c>
      <c r="U41" s="169"/>
      <c r="V41" s="1297" t="s">
        <v>427</v>
      </c>
      <c r="W41" s="1298"/>
      <c r="X41" s="1298"/>
      <c r="Y41" s="1298"/>
      <c r="Z41" s="1298"/>
      <c r="AA41" s="1298"/>
      <c r="AB41" s="1299"/>
      <c r="AC41" s="1300" t="s">
        <v>428</v>
      </c>
      <c r="AD41" s="1329" t="s">
        <v>523</v>
      </c>
      <c r="AE41" s="1313"/>
      <c r="AF41" s="1313"/>
      <c r="AG41" s="1330"/>
      <c r="AH41" s="1329" t="s">
        <v>524</v>
      </c>
      <c r="AI41" s="1313"/>
      <c r="AJ41" s="1313"/>
      <c r="AK41" s="1330"/>
      <c r="AL41" s="1329" t="s">
        <v>525</v>
      </c>
      <c r="AM41" s="1313"/>
      <c r="AN41" s="1313"/>
      <c r="AO41" s="1330"/>
      <c r="AP41" s="1329" t="s">
        <v>510</v>
      </c>
      <c r="AQ41" s="1313"/>
      <c r="AR41" s="1313"/>
      <c r="AS41" s="1330"/>
      <c r="AT41" s="1297" t="s">
        <v>427</v>
      </c>
      <c r="AU41" s="1298"/>
      <c r="AV41" s="1298"/>
      <c r="AW41" s="1298"/>
      <c r="AX41" s="1298"/>
      <c r="AY41" s="1298"/>
      <c r="AZ41" s="1299"/>
      <c r="BA41" s="1300" t="s">
        <v>428</v>
      </c>
      <c r="BB41" s="1303" t="s">
        <v>430</v>
      </c>
      <c r="BC41" s="1146"/>
      <c r="BI41" s="10">
        <v>14</v>
      </c>
    </row>
    <row r="42" spans="1:61" ht="35.65" customHeight="1">
      <c r="Q42" s="165"/>
      <c r="R42" s="27"/>
      <c r="S42" s="1296"/>
      <c r="T42" s="1244"/>
      <c r="U42" s="604"/>
      <c r="V42" s="1217" t="s">
        <v>511</v>
      </c>
      <c r="W42" s="1218"/>
      <c r="X42" s="1217" t="s">
        <v>512</v>
      </c>
      <c r="Y42" s="1218"/>
      <c r="Z42" s="1217" t="s">
        <v>513</v>
      </c>
      <c r="AA42" s="1325"/>
      <c r="AB42" s="1218"/>
      <c r="AC42" s="1301"/>
      <c r="AD42" s="1331"/>
      <c r="AE42" s="1332"/>
      <c r="AF42" s="1332"/>
      <c r="AG42" s="1344"/>
      <c r="AH42" s="1331"/>
      <c r="AI42" s="1332"/>
      <c r="AJ42" s="1332"/>
      <c r="AK42" s="1344"/>
      <c r="AL42" s="1331"/>
      <c r="AM42" s="1332"/>
      <c r="AN42" s="1332"/>
      <c r="AO42" s="1344"/>
      <c r="AP42" s="1331"/>
      <c r="AQ42" s="1332"/>
      <c r="AR42" s="1332"/>
      <c r="AS42" s="1344"/>
      <c r="AT42" s="1217" t="s">
        <v>526</v>
      </c>
      <c r="AU42" s="1218"/>
      <c r="AV42" s="1217" t="s">
        <v>527</v>
      </c>
      <c r="AW42" s="1218"/>
      <c r="AX42" s="1217" t="s">
        <v>513</v>
      </c>
      <c r="AY42" s="1325"/>
      <c r="AZ42" s="1218"/>
      <c r="BA42" s="1301"/>
      <c r="BB42" s="1304"/>
      <c r="BC42" s="1146"/>
      <c r="BI42" s="10">
        <v>34</v>
      </c>
    </row>
    <row r="43" spans="1:61" ht="14.65" customHeight="1">
      <c r="Q43" s="165"/>
      <c r="R43" s="27"/>
      <c r="S43" s="1296"/>
      <c r="T43" s="1244"/>
      <c r="U43" s="604"/>
      <c r="V43" s="1222"/>
      <c r="W43" s="1223"/>
      <c r="X43" s="1222"/>
      <c r="Y43" s="1223"/>
      <c r="Z43" s="1222"/>
      <c r="AA43" s="1326"/>
      <c r="AB43" s="1223"/>
      <c r="AC43" s="1301"/>
      <c r="AD43" s="1331"/>
      <c r="AE43" s="1332"/>
      <c r="AF43" s="1332"/>
      <c r="AG43" s="1344"/>
      <c r="AH43" s="1331"/>
      <c r="AI43" s="1332"/>
      <c r="AJ43" s="1332"/>
      <c r="AK43" s="1344"/>
      <c r="AL43" s="1331"/>
      <c r="AM43" s="1332"/>
      <c r="AN43" s="1332"/>
      <c r="AO43" s="1344"/>
      <c r="AP43" s="1331"/>
      <c r="AQ43" s="1332"/>
      <c r="AR43" s="1332"/>
      <c r="AS43" s="1344"/>
      <c r="AT43" s="1222"/>
      <c r="AU43" s="1223"/>
      <c r="AV43" s="1222"/>
      <c r="AW43" s="1223"/>
      <c r="AX43" s="1222"/>
      <c r="AY43" s="1326"/>
      <c r="AZ43" s="1223"/>
      <c r="BA43" s="1301"/>
      <c r="BB43" s="1304"/>
      <c r="BC43" s="1146"/>
      <c r="BI43" s="10">
        <v>14</v>
      </c>
    </row>
    <row r="44" spans="1:61" ht="14.65" customHeight="1">
      <c r="A44" s="79"/>
      <c r="B44" s="79" t="s">
        <v>133</v>
      </c>
      <c r="C44" s="79" t="s">
        <v>134</v>
      </c>
      <c r="D44" s="79" t="s">
        <v>135</v>
      </c>
      <c r="E44" s="767" t="s">
        <v>435</v>
      </c>
      <c r="F44" s="767" t="s">
        <v>436</v>
      </c>
      <c r="G44" s="767" t="s">
        <v>437</v>
      </c>
      <c r="H44" s="767" t="s">
        <v>438</v>
      </c>
      <c r="I44" s="767" t="s">
        <v>439</v>
      </c>
      <c r="J44" s="767" t="s">
        <v>440</v>
      </c>
      <c r="K44" s="767" t="s">
        <v>441</v>
      </c>
      <c r="L44" s="767" t="s">
        <v>416</v>
      </c>
      <c r="Q44" s="165"/>
      <c r="R44" s="27"/>
      <c r="S44" s="1296"/>
      <c r="T44" s="1244"/>
      <c r="U44" s="170"/>
      <c r="V44" s="35" t="s">
        <v>475</v>
      </c>
      <c r="W44" s="35" t="s">
        <v>476</v>
      </c>
      <c r="X44" s="35" t="s">
        <v>475</v>
      </c>
      <c r="Y44" s="35" t="s">
        <v>476</v>
      </c>
      <c r="Z44" s="38" t="s">
        <v>444</v>
      </c>
      <c r="AA44" s="1249" t="s">
        <v>445</v>
      </c>
      <c r="AB44" s="1263"/>
      <c r="AC44" s="1302"/>
      <c r="AD44" s="1333"/>
      <c r="AE44" s="1334"/>
      <c r="AF44" s="1334"/>
      <c r="AG44" s="1335"/>
      <c r="AH44" s="1333"/>
      <c r="AI44" s="1334"/>
      <c r="AJ44" s="1334"/>
      <c r="AK44" s="1335"/>
      <c r="AL44" s="1333"/>
      <c r="AM44" s="1334"/>
      <c r="AN44" s="1334"/>
      <c r="AO44" s="1335"/>
      <c r="AP44" s="1333"/>
      <c r="AQ44" s="1334"/>
      <c r="AR44" s="1334"/>
      <c r="AS44" s="1335"/>
      <c r="AT44" s="35" t="s">
        <v>475</v>
      </c>
      <c r="AU44" s="35" t="s">
        <v>476</v>
      </c>
      <c r="AV44" s="35" t="s">
        <v>475</v>
      </c>
      <c r="AW44" s="35" t="s">
        <v>476</v>
      </c>
      <c r="AX44" s="38" t="s">
        <v>444</v>
      </c>
      <c r="AY44" s="1249" t="s">
        <v>445</v>
      </c>
      <c r="AZ44" s="1263"/>
      <c r="BA44" s="1302"/>
      <c r="BB44" s="1305"/>
      <c r="BC44" s="1146"/>
      <c r="BI44" s="10">
        <v>14</v>
      </c>
    </row>
    <row r="45" spans="1:61" s="200" customFormat="1" ht="11.25" hidden="1" customHeight="1">
      <c r="A45" s="79"/>
      <c r="B45" s="79"/>
      <c r="C45" s="79"/>
      <c r="D45" s="79"/>
      <c r="E45" s="79"/>
      <c r="F45" s="79"/>
      <c r="G45" s="79"/>
      <c r="H45" s="79"/>
      <c r="I45" s="79"/>
      <c r="J45" s="79"/>
      <c r="K45" s="79"/>
      <c r="L45" s="767"/>
      <c r="M45" s="503"/>
      <c r="N45" s="503"/>
      <c r="O45" s="503"/>
      <c r="P45" s="287"/>
      <c r="Q45" s="722"/>
      <c r="R45" s="722">
        <v>1</v>
      </c>
      <c r="S45" s="738" t="s">
        <v>107</v>
      </c>
      <c r="T45" s="723" t="s">
        <v>108</v>
      </c>
      <c r="U45" s="718" t="str">
        <f ca="1">OFFSET(U45,0,-1)</f>
        <v>2</v>
      </c>
      <c r="V45" s="724">
        <f t="shared" ref="V45:AA45" ca="1" si="2">OFFSET(V45,0,-1)+1</f>
        <v>3</v>
      </c>
      <c r="W45" s="724">
        <f t="shared" ca="1" si="2"/>
        <v>4</v>
      </c>
      <c r="X45" s="724">
        <f t="shared" ca="1" si="2"/>
        <v>5</v>
      </c>
      <c r="Y45" s="724">
        <f t="shared" ca="1" si="2"/>
        <v>6</v>
      </c>
      <c r="Z45" s="724">
        <f t="shared" ca="1" si="2"/>
        <v>7</v>
      </c>
      <c r="AA45" s="1294">
        <f t="shared" ca="1" si="2"/>
        <v>8</v>
      </c>
      <c r="AB45" s="1294"/>
      <c r="AC45" s="724">
        <f ca="1">OFFSET(AC45,0,-2)+1</f>
        <v>9</v>
      </c>
      <c r="AD45" s="724">
        <f ca="1">OFFSET(AD45,0,-1)+1</f>
        <v>10</v>
      </c>
      <c r="AE45" s="724"/>
      <c r="AF45" s="724"/>
      <c r="AG45" s="724"/>
      <c r="AH45" s="724"/>
      <c r="AI45" s="724"/>
      <c r="AJ45" s="724"/>
      <c r="AK45" s="724"/>
      <c r="AL45" s="724"/>
      <c r="AM45" s="724"/>
      <c r="AN45" s="724"/>
      <c r="AO45" s="724"/>
      <c r="AP45" s="724"/>
      <c r="AQ45" s="724"/>
      <c r="AR45" s="724"/>
      <c r="AS45" s="724"/>
      <c r="AT45" s="724"/>
      <c r="AU45" s="724"/>
      <c r="AV45" s="724"/>
      <c r="AW45" s="724">
        <f ca="1">OFFSET(AW45,0,-1)+1</f>
        <v>1</v>
      </c>
      <c r="AX45" s="724">
        <f ca="1">OFFSET(AX45,0,-1)+1</f>
        <v>2</v>
      </c>
      <c r="AY45" s="1294">
        <f ca="1">OFFSET(AY45,0,-1)+1</f>
        <v>3</v>
      </c>
      <c r="AZ45" s="1294"/>
      <c r="BA45" s="724">
        <f ca="1">OFFSET(BA45,0,-2)+1</f>
        <v>4</v>
      </c>
      <c r="BB45" s="718">
        <f ca="1">OFFSET(BB45,0,-1)</f>
        <v>4</v>
      </c>
      <c r="BC45" s="724">
        <f ca="1">OFFSET(BC45,0,-1)+1</f>
        <v>5</v>
      </c>
      <c r="BD45" s="65"/>
      <c r="BE45" s="65"/>
      <c r="BF45" s="65"/>
      <c r="BG45" s="65"/>
      <c r="BH45" s="65"/>
      <c r="BI45" s="200">
        <v>0</v>
      </c>
    </row>
    <row r="46" spans="1:61" ht="21.95" customHeight="1">
      <c r="A46" s="766" t="s">
        <v>276</v>
      </c>
      <c r="B46" s="766"/>
      <c r="C46" s="766"/>
      <c r="D46" s="766"/>
      <c r="E46" s="1283">
        <v>1</v>
      </c>
      <c r="F46" s="766"/>
      <c r="G46" s="766"/>
      <c r="H46" s="766"/>
      <c r="I46" s="766"/>
      <c r="J46" s="766"/>
      <c r="K46" s="766"/>
      <c r="L46" s="767"/>
      <c r="M46" s="423"/>
      <c r="N46" s="423"/>
      <c r="O46" s="423"/>
      <c r="Q46" s="59"/>
      <c r="R46" s="204"/>
      <c r="S46" s="706">
        <f>INDEX(PT_DIFFERENTIATION_NUM_NTAR,MATCH(A46,PT_DIFFERENTIATION_NTAR_ID,0))</f>
        <v>0</v>
      </c>
      <c r="T46" s="64" t="s">
        <v>121</v>
      </c>
      <c r="U46" s="168"/>
      <c r="V46" s="1278"/>
      <c r="W46" s="1278"/>
      <c r="X46" s="1278"/>
      <c r="Y46" s="1278"/>
      <c r="Z46" s="1278"/>
      <c r="AA46" s="1278"/>
      <c r="AB46" s="1278"/>
      <c r="AC46" s="1279"/>
      <c r="AD46" s="1277" t="str">
        <f>INDEX(PT_DIFFERENTIATION_NTAR,MATCH(A46,PT_DIFFERENTIATION_NTAR_ID,0))</f>
        <v/>
      </c>
      <c r="AE46" s="1278"/>
      <c r="AF46" s="1278"/>
      <c r="AG46" s="1278"/>
      <c r="AH46" s="1278"/>
      <c r="AI46" s="1278"/>
      <c r="AJ46" s="1278"/>
      <c r="AK46" s="1278"/>
      <c r="AL46" s="1278"/>
      <c r="AM46" s="1278"/>
      <c r="AN46" s="1278"/>
      <c r="AO46" s="1278"/>
      <c r="AP46" s="1278"/>
      <c r="AQ46" s="1278"/>
      <c r="AR46" s="1278"/>
      <c r="AS46" s="1278"/>
      <c r="AT46" s="1278"/>
      <c r="AU46" s="1278"/>
      <c r="AV46" s="1278"/>
      <c r="AW46" s="1278"/>
      <c r="AX46" s="1278"/>
      <c r="AY46" s="1278"/>
      <c r="AZ46" s="1278"/>
      <c r="BA46" s="1278"/>
      <c r="BB46" s="1279"/>
      <c r="BC46"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c r="BI46" s="10">
        <v>21</v>
      </c>
    </row>
    <row r="47" spans="1:61" ht="21.95" customHeight="1">
      <c r="A47" s="766" t="s">
        <v>276</v>
      </c>
      <c r="B47" s="766" t="s">
        <v>277</v>
      </c>
      <c r="C47" s="766"/>
      <c r="D47" s="766"/>
      <c r="E47" s="1284"/>
      <c r="F47" s="1283">
        <v>1</v>
      </c>
      <c r="G47" s="766"/>
      <c r="H47" s="766"/>
      <c r="I47" s="766"/>
      <c r="J47" s="766"/>
      <c r="K47" s="766"/>
      <c r="L47" s="767"/>
      <c r="M47" s="423"/>
      <c r="N47" s="423"/>
      <c r="O47" s="423"/>
      <c r="P47" s="298"/>
      <c r="Q47" s="799"/>
      <c r="R47" s="202"/>
      <c r="S47" s="706" t="str">
        <f>INDEX(PT_DIFFERENTIATION_NUM_TER,MATCH(B47,PT_DIFFERENTIATION_TER_ID,0))</f>
        <v>.</v>
      </c>
      <c r="T47" s="174" t="s">
        <v>397</v>
      </c>
      <c r="U47" s="168"/>
      <c r="V47" s="1278"/>
      <c r="W47" s="1278"/>
      <c r="X47" s="1278"/>
      <c r="Y47" s="1278"/>
      <c r="Z47" s="1278"/>
      <c r="AA47" s="1278"/>
      <c r="AB47" s="1278"/>
      <c r="AC47" s="1279"/>
      <c r="AD47" s="1277" t="str">
        <f>INDEX(PT_DIFFERENTIATION_TER,MATCH(B47,PT_DIFFERENTIATION_TER_ID,0))</f>
        <v/>
      </c>
      <c r="AE47" s="1278"/>
      <c r="AF47" s="1278"/>
      <c r="AG47" s="1278"/>
      <c r="AH47" s="1278"/>
      <c r="AI47" s="1278"/>
      <c r="AJ47" s="1278"/>
      <c r="AK47" s="1278"/>
      <c r="AL47" s="1278"/>
      <c r="AM47" s="1278"/>
      <c r="AN47" s="1278"/>
      <c r="AO47" s="1278"/>
      <c r="AP47" s="1278"/>
      <c r="AQ47" s="1278"/>
      <c r="AR47" s="1278"/>
      <c r="AS47" s="1278"/>
      <c r="AT47" s="1278"/>
      <c r="AU47" s="1278"/>
      <c r="AV47" s="1278"/>
      <c r="AW47" s="1278"/>
      <c r="AX47" s="1278"/>
      <c r="AY47" s="1278"/>
      <c r="AZ47" s="1278"/>
      <c r="BA47" s="1278"/>
      <c r="BB47" s="1279"/>
      <c r="BC47" s="726" t="s">
        <v>398</v>
      </c>
      <c r="BE47" s="66"/>
      <c r="BF47" s="66" t="str">
        <f t="shared" si="3"/>
        <v>Территория действия тарифа</v>
      </c>
      <c r="BG47" s="66"/>
      <c r="BH47" s="66"/>
      <c r="BI47" s="10">
        <v>21</v>
      </c>
    </row>
    <row r="48" spans="1:61" ht="35.65" customHeight="1">
      <c r="A48" s="766" t="s">
        <v>276</v>
      </c>
      <c r="B48" s="766" t="s">
        <v>277</v>
      </c>
      <c r="C48" s="766" t="s">
        <v>278</v>
      </c>
      <c r="D48" s="766"/>
      <c r="E48" s="1284"/>
      <c r="F48" s="1284"/>
      <c r="G48" s="1283">
        <v>1</v>
      </c>
      <c r="H48" s="766"/>
      <c r="I48" s="766"/>
      <c r="J48" s="766"/>
      <c r="K48" s="766"/>
      <c r="L48" s="767"/>
      <c r="M48" s="423"/>
      <c r="N48" s="423"/>
      <c r="O48" s="423"/>
      <c r="P48" s="128"/>
      <c r="Q48" s="799"/>
      <c r="R48" s="202"/>
      <c r="S48" s="706" t="str">
        <f>INDEX(PT_DIFFERENTIATION_NUM_CS,MATCH(C48,PT_DIFFERENTIATION_CS_ID,0))</f>
        <v>..</v>
      </c>
      <c r="T48" s="175" t="s">
        <v>515</v>
      </c>
      <c r="U48" s="168"/>
      <c r="V48" s="1278"/>
      <c r="W48" s="1278"/>
      <c r="X48" s="1278"/>
      <c r="Y48" s="1278"/>
      <c r="Z48" s="1278"/>
      <c r="AA48" s="1278"/>
      <c r="AB48" s="1278"/>
      <c r="AC48" s="1279"/>
      <c r="AD48" s="1277" t="str">
        <f>INDEX(PT_DIFFERENTIATION_CS,MATCH(C48,PT_DIFFERENTIATION_CS_ID,0))</f>
        <v/>
      </c>
      <c r="AE48" s="1278"/>
      <c r="AF48" s="1278"/>
      <c r="AG48" s="1278"/>
      <c r="AH48" s="1278"/>
      <c r="AI48" s="1278"/>
      <c r="AJ48" s="1278"/>
      <c r="AK48" s="1278"/>
      <c r="AL48" s="1278"/>
      <c r="AM48" s="1278"/>
      <c r="AN48" s="1278"/>
      <c r="AO48" s="1278"/>
      <c r="AP48" s="1278"/>
      <c r="AQ48" s="1278"/>
      <c r="AR48" s="1278"/>
      <c r="AS48" s="1278"/>
      <c r="AT48" s="1278"/>
      <c r="AU48" s="1278"/>
      <c r="AV48" s="1278"/>
      <c r="AW48" s="1278"/>
      <c r="AX48" s="1278"/>
      <c r="AY48" s="1278"/>
      <c r="AZ48" s="1278"/>
      <c r="BA48" s="1278"/>
      <c r="BB48" s="1279"/>
      <c r="BC48" s="726" t="s">
        <v>516</v>
      </c>
      <c r="BE48" s="66"/>
      <c r="BF48" s="66" t="str">
        <f t="shared" si="3"/>
        <v>Наименование централизованной системы водоотведения</v>
      </c>
      <c r="BG48" s="66"/>
      <c r="BH48" s="66"/>
      <c r="BI48" s="10">
        <v>34</v>
      </c>
    </row>
    <row r="49" spans="1:61" s="65" customFormat="1" ht="0" hidden="1" customHeight="1">
      <c r="A49" s="142" t="s">
        <v>276</v>
      </c>
      <c r="B49" s="142" t="s">
        <v>277</v>
      </c>
      <c r="C49" s="142" t="s">
        <v>278</v>
      </c>
      <c r="D49" s="142" t="s">
        <v>528</v>
      </c>
      <c r="E49" s="1284"/>
      <c r="F49" s="1284"/>
      <c r="G49" s="1284"/>
      <c r="H49" s="1283">
        <v>1</v>
      </c>
      <c r="I49" s="142"/>
      <c r="J49" s="142"/>
      <c r="K49" s="142"/>
      <c r="L49" s="343"/>
      <c r="M49" s="290"/>
      <c r="N49" s="290"/>
      <c r="O49" s="290"/>
      <c r="P49" s="818"/>
      <c r="Q49" s="819"/>
      <c r="R49" s="206"/>
      <c r="S49" s="359"/>
      <c r="T49" s="820"/>
      <c r="U49" s="777"/>
      <c r="V49" s="1315"/>
      <c r="W49" s="1315"/>
      <c r="X49" s="1315"/>
      <c r="Y49" s="1315"/>
      <c r="Z49" s="1315"/>
      <c r="AA49" s="1315"/>
      <c r="AB49" s="1315"/>
      <c r="AC49" s="1316"/>
      <c r="AD49" s="1314"/>
      <c r="AE49" s="1315"/>
      <c r="AF49" s="1315"/>
      <c r="AG49" s="1315"/>
      <c r="AH49" s="1315"/>
      <c r="AI49" s="1315"/>
      <c r="AJ49" s="1315"/>
      <c r="AK49" s="1315"/>
      <c r="AL49" s="1315"/>
      <c r="AM49" s="1315"/>
      <c r="AN49" s="1315"/>
      <c r="AO49" s="1315"/>
      <c r="AP49" s="1315"/>
      <c r="AQ49" s="1315"/>
      <c r="AR49" s="1315"/>
      <c r="AS49" s="1315"/>
      <c r="AT49" s="1315"/>
      <c r="AU49" s="1315"/>
      <c r="AV49" s="1315"/>
      <c r="AW49" s="1315"/>
      <c r="AX49" s="1315"/>
      <c r="AY49" s="1315"/>
      <c r="AZ49" s="1315"/>
      <c r="BA49" s="1315"/>
      <c r="BB49" s="1316"/>
      <c r="BC49" s="778" t="s">
        <v>402</v>
      </c>
      <c r="BE49" s="66"/>
      <c r="BF49" s="66" t="str">
        <f t="shared" si="3"/>
        <v/>
      </c>
      <c r="BG49" s="66"/>
      <c r="BH49" s="66"/>
      <c r="BI49" s="65">
        <v>0</v>
      </c>
    </row>
    <row r="50" spans="1:61" s="65" customFormat="1" ht="0" hidden="1" customHeight="1">
      <c r="A50" s="142" t="s">
        <v>276</v>
      </c>
      <c r="B50" s="142" t="s">
        <v>277</v>
      </c>
      <c r="C50" s="142" t="s">
        <v>278</v>
      </c>
      <c r="D50" s="142" t="s">
        <v>528</v>
      </c>
      <c r="E50" s="1284"/>
      <c r="F50" s="1284"/>
      <c r="G50" s="1284"/>
      <c r="H50" s="1284"/>
      <c r="I50" s="1285" t="str">
        <f>S49&amp;".1"</f>
        <v>.1</v>
      </c>
      <c r="J50" s="142"/>
      <c r="K50" s="142"/>
      <c r="L50" s="343" t="s">
        <v>403</v>
      </c>
      <c r="M50" s="287"/>
      <c r="N50" s="287"/>
      <c r="O50" s="287"/>
      <c r="P50" s="1287">
        <v>1</v>
      </c>
      <c r="Q50" s="119"/>
      <c r="R50" s="205"/>
      <c r="S50" s="359"/>
      <c r="T50" s="776"/>
      <c r="U50" s="777"/>
      <c r="V50" s="1315"/>
      <c r="W50" s="1315"/>
      <c r="X50" s="1315"/>
      <c r="Y50" s="1315"/>
      <c r="Z50" s="1315"/>
      <c r="AA50" s="1315"/>
      <c r="AB50" s="1315"/>
      <c r="AC50" s="1316"/>
      <c r="AD50" s="1314"/>
      <c r="AE50" s="1315"/>
      <c r="AF50" s="1315"/>
      <c r="AG50" s="1315"/>
      <c r="AH50" s="1315"/>
      <c r="AI50" s="1315"/>
      <c r="AJ50" s="1315"/>
      <c r="AK50" s="1315"/>
      <c r="AL50" s="1315"/>
      <c r="AM50" s="1315"/>
      <c r="AN50" s="1315"/>
      <c r="AO50" s="1315"/>
      <c r="AP50" s="1315"/>
      <c r="AQ50" s="1315"/>
      <c r="AR50" s="1315"/>
      <c r="AS50" s="1315"/>
      <c r="AT50" s="1315"/>
      <c r="AU50" s="1315"/>
      <c r="AV50" s="1315"/>
      <c r="AW50" s="1315"/>
      <c r="AX50" s="1315"/>
      <c r="AY50" s="1315"/>
      <c r="AZ50" s="1315"/>
      <c r="BA50" s="1315"/>
      <c r="BB50" s="1316"/>
      <c r="BC50" s="778"/>
      <c r="BE50" s="66"/>
      <c r="BF50" s="66" t="str">
        <f t="shared" si="3"/>
        <v/>
      </c>
      <c r="BG50" s="66"/>
      <c r="BH50" s="66"/>
      <c r="BI50" s="65">
        <v>0</v>
      </c>
    </row>
    <row r="51" spans="1:61" s="65" customFormat="1" ht="0" hidden="1" customHeight="1">
      <c r="A51" s="142" t="s">
        <v>276</v>
      </c>
      <c r="B51" s="142" t="s">
        <v>277</v>
      </c>
      <c r="C51" s="142" t="s">
        <v>278</v>
      </c>
      <c r="D51" s="142" t="s">
        <v>528</v>
      </c>
      <c r="E51" s="1284"/>
      <c r="F51" s="1284"/>
      <c r="G51" s="1284"/>
      <c r="H51" s="1284"/>
      <c r="I51" s="1286"/>
      <c r="J51" s="1285" t="str">
        <f>S49&amp;".1"</f>
        <v>.1</v>
      </c>
      <c r="K51" s="142"/>
      <c r="L51" s="343"/>
      <c r="M51" s="287"/>
      <c r="N51" s="287"/>
      <c r="O51" s="287"/>
      <c r="P51" s="1287"/>
      <c r="Q51" s="1287">
        <v>1</v>
      </c>
      <c r="R51" s="206"/>
      <c r="S51" s="359"/>
      <c r="T51" s="791"/>
      <c r="U51" s="777"/>
      <c r="V51" s="1315"/>
      <c r="W51" s="1315"/>
      <c r="X51" s="1315"/>
      <c r="Y51" s="1315"/>
      <c r="Z51" s="1315"/>
      <c r="AA51" s="1315"/>
      <c r="AB51" s="1315"/>
      <c r="AC51" s="1316"/>
      <c r="AD51" s="1314"/>
      <c r="AE51" s="1315"/>
      <c r="AF51" s="1315"/>
      <c r="AG51" s="1315"/>
      <c r="AH51" s="1315"/>
      <c r="AI51" s="1315"/>
      <c r="AJ51" s="1315"/>
      <c r="AK51" s="1315"/>
      <c r="AL51" s="1315"/>
      <c r="AM51" s="1315"/>
      <c r="AN51" s="1366"/>
      <c r="AO51" s="1366"/>
      <c r="AP51" s="1315"/>
      <c r="AQ51" s="1315"/>
      <c r="AR51" s="1315"/>
      <c r="AS51" s="1315"/>
      <c r="AT51" s="1315"/>
      <c r="AU51" s="1315"/>
      <c r="AV51" s="1315"/>
      <c r="AW51" s="1315"/>
      <c r="AX51" s="1315"/>
      <c r="AY51" s="1315"/>
      <c r="AZ51" s="1315"/>
      <c r="BA51" s="1315"/>
      <c r="BB51" s="1316"/>
      <c r="BC51" s="778"/>
      <c r="BE51" s="66"/>
      <c r="BF51" s="66" t="str">
        <f t="shared" si="3"/>
        <v/>
      </c>
      <c r="BG51" s="66"/>
      <c r="BH51" s="66"/>
      <c r="BI51" s="65">
        <v>0</v>
      </c>
    </row>
    <row r="52" spans="1:61" ht="11.45" customHeight="1">
      <c r="A52" s="766" t="s">
        <v>276</v>
      </c>
      <c r="B52" s="766" t="s">
        <v>277</v>
      </c>
      <c r="C52" s="766" t="s">
        <v>278</v>
      </c>
      <c r="D52" s="766" t="s">
        <v>528</v>
      </c>
      <c r="E52" s="1284"/>
      <c r="F52" s="1284"/>
      <c r="G52" s="1284"/>
      <c r="H52" s="1284"/>
      <c r="I52" s="1286"/>
      <c r="J52" s="1286"/>
      <c r="K52" s="1285" t="str">
        <f>S48&amp;".1"</f>
        <v>...1</v>
      </c>
      <c r="L52" s="767"/>
      <c r="P52" s="1287"/>
      <c r="Q52" s="1287"/>
      <c r="R52" s="206">
        <v>1</v>
      </c>
      <c r="S52" s="1340" t="str">
        <f>$K52</f>
        <v>...1</v>
      </c>
      <c r="T52" s="1360"/>
      <c r="U52" s="168"/>
      <c r="V52" s="303"/>
      <c r="W52" s="725"/>
      <c r="X52" s="303"/>
      <c r="Y52" s="725"/>
      <c r="Z52" s="942"/>
      <c r="AA52" s="294" t="s">
        <v>64</v>
      </c>
      <c r="AB52" s="942"/>
      <c r="AC52" s="294" t="s">
        <v>64</v>
      </c>
      <c r="AD52" s="1212" t="s">
        <v>64</v>
      </c>
      <c r="AE52" s="1336"/>
      <c r="AF52" s="1240">
        <v>1</v>
      </c>
      <c r="AG52" s="1359"/>
      <c r="AH52" s="1156" t="s">
        <v>64</v>
      </c>
      <c r="AI52" s="1336"/>
      <c r="AJ52" s="1240">
        <v>1</v>
      </c>
      <c r="AK52" s="1350" t="s">
        <v>28</v>
      </c>
      <c r="AL52" s="1156" t="s">
        <v>64</v>
      </c>
      <c r="AM52" s="1217"/>
      <c r="AN52" s="1240">
        <v>1</v>
      </c>
      <c r="AO52" s="1363"/>
      <c r="AP52" s="1364" t="s">
        <v>64</v>
      </c>
      <c r="AQ52" s="177"/>
      <c r="AR52" s="265">
        <v>1</v>
      </c>
      <c r="AS52" s="116" t="s">
        <v>28</v>
      </c>
      <c r="AT52" s="303"/>
      <c r="AU52" s="725"/>
      <c r="AV52" s="303"/>
      <c r="AW52" s="725"/>
      <c r="AX52" s="942"/>
      <c r="AY52" s="294" t="s">
        <v>64</v>
      </c>
      <c r="AZ52" s="942"/>
      <c r="BA52" s="294" t="s">
        <v>64</v>
      </c>
      <c r="BB52" s="763"/>
      <c r="BC52" s="1306" t="s">
        <v>500</v>
      </c>
      <c r="BE52" s="66"/>
      <c r="BF52" s="66" t="str">
        <f t="shared" si="3"/>
        <v/>
      </c>
      <c r="BG52" s="66"/>
      <c r="BH52" s="66"/>
      <c r="BI52" s="10">
        <v>11</v>
      </c>
    </row>
    <row r="53" spans="1:61" ht="11.45" customHeight="1">
      <c r="A53" s="766"/>
      <c r="B53" s="766"/>
      <c r="C53" s="766"/>
      <c r="D53" s="766"/>
      <c r="E53" s="1284"/>
      <c r="F53" s="1284"/>
      <c r="G53" s="1284"/>
      <c r="H53" s="1284"/>
      <c r="I53" s="1286"/>
      <c r="J53" s="1286"/>
      <c r="K53" s="1285"/>
      <c r="L53" s="767"/>
      <c r="P53" s="1287"/>
      <c r="Q53" s="1287"/>
      <c r="R53" s="206"/>
      <c r="S53" s="1341"/>
      <c r="T53" s="1361"/>
      <c r="U53" s="168"/>
      <c r="V53" s="786"/>
      <c r="W53" s="817"/>
      <c r="X53" s="786"/>
      <c r="Y53" s="817"/>
      <c r="Z53" s="786"/>
      <c r="AA53" s="786"/>
      <c r="AB53" s="786"/>
      <c r="AC53" s="786"/>
      <c r="AD53" s="1213"/>
      <c r="AE53" s="1336"/>
      <c r="AF53" s="1240"/>
      <c r="AG53" s="1359"/>
      <c r="AH53" s="1156"/>
      <c r="AI53" s="1336"/>
      <c r="AJ53" s="1240"/>
      <c r="AK53" s="1350"/>
      <c r="AL53" s="1156"/>
      <c r="AM53" s="1222"/>
      <c r="AN53" s="1240"/>
      <c r="AO53" s="1363"/>
      <c r="AP53" s="1365"/>
      <c r="AQ53" s="181"/>
      <c r="AR53" s="51"/>
      <c r="AS53" s="51" t="s">
        <v>501</v>
      </c>
      <c r="AT53" s="786"/>
      <c r="AU53" s="817"/>
      <c r="AV53" s="786"/>
      <c r="AW53" s="817"/>
      <c r="AX53" s="786"/>
      <c r="AY53" s="786"/>
      <c r="AZ53" s="786"/>
      <c r="BA53" s="786"/>
      <c r="BB53" s="790"/>
      <c r="BC53" s="1307"/>
      <c r="BE53" s="66"/>
      <c r="BF53" s="66"/>
      <c r="BG53" s="66"/>
      <c r="BH53" s="66"/>
      <c r="BI53" s="10">
        <v>11</v>
      </c>
    </row>
    <row r="54" spans="1:61" ht="11.45" customHeight="1">
      <c r="A54" s="766" t="s">
        <v>276</v>
      </c>
      <c r="B54" s="766"/>
      <c r="C54" s="766"/>
      <c r="D54" s="766"/>
      <c r="E54" s="1284"/>
      <c r="F54" s="1284"/>
      <c r="G54" s="1284"/>
      <c r="H54" s="1284"/>
      <c r="I54" s="1286"/>
      <c r="J54" s="1286"/>
      <c r="K54" s="1285"/>
      <c r="L54" s="767"/>
      <c r="P54" s="1287"/>
      <c r="Q54" s="1287"/>
      <c r="R54" s="206"/>
      <c r="S54" s="1341"/>
      <c r="T54" s="1361"/>
      <c r="U54" s="168"/>
      <c r="V54" s="786"/>
      <c r="W54" s="817"/>
      <c r="X54" s="786"/>
      <c r="Y54" s="817"/>
      <c r="Z54" s="786"/>
      <c r="AA54" s="786"/>
      <c r="AB54" s="786"/>
      <c r="AC54" s="786"/>
      <c r="AD54" s="1213"/>
      <c r="AE54" s="1336"/>
      <c r="AF54" s="1240"/>
      <c r="AG54" s="1359"/>
      <c r="AH54" s="1156"/>
      <c r="AI54" s="1336"/>
      <c r="AJ54" s="1240"/>
      <c r="AK54" s="1350"/>
      <c r="AL54" s="1156"/>
      <c r="AM54" s="181"/>
      <c r="AN54" s="821"/>
      <c r="AO54" s="821" t="s">
        <v>521</v>
      </c>
      <c r="AP54" s="51"/>
      <c r="AQ54" s="51"/>
      <c r="AR54" s="51"/>
      <c r="AS54" s="786"/>
      <c r="AT54" s="786"/>
      <c r="AU54" s="817"/>
      <c r="AV54" s="786"/>
      <c r="AW54" s="817"/>
      <c r="AX54" s="786"/>
      <c r="AY54" s="786"/>
      <c r="AZ54" s="786"/>
      <c r="BA54" s="786"/>
      <c r="BB54" s="790"/>
      <c r="BC54" s="1307"/>
      <c r="BE54" s="66"/>
      <c r="BF54" s="66"/>
      <c r="BG54" s="66"/>
      <c r="BH54" s="66"/>
      <c r="BI54" s="10">
        <v>11</v>
      </c>
    </row>
    <row r="55" spans="1:61" ht="11.45" customHeight="1">
      <c r="A55" s="766" t="s">
        <v>276</v>
      </c>
      <c r="B55" s="766"/>
      <c r="C55" s="766"/>
      <c r="D55" s="766"/>
      <c r="E55" s="1284"/>
      <c r="F55" s="1284"/>
      <c r="G55" s="1284"/>
      <c r="H55" s="1284"/>
      <c r="I55" s="1286"/>
      <c r="J55" s="1286"/>
      <c r="K55" s="1285"/>
      <c r="L55" s="767"/>
      <c r="P55" s="1287"/>
      <c r="Q55" s="1287"/>
      <c r="R55" s="206"/>
      <c r="S55" s="1341"/>
      <c r="T55" s="1361"/>
      <c r="U55" s="168"/>
      <c r="V55" s="786"/>
      <c r="W55" s="817"/>
      <c r="X55" s="786"/>
      <c r="Y55" s="817"/>
      <c r="Z55" s="786"/>
      <c r="AA55" s="786"/>
      <c r="AB55" s="786"/>
      <c r="AC55" s="786"/>
      <c r="AD55" s="1213"/>
      <c r="AE55" s="1336"/>
      <c r="AF55" s="1240"/>
      <c r="AG55" s="1359"/>
      <c r="AH55" s="1156"/>
      <c r="AI55" s="166"/>
      <c r="AJ55" s="107"/>
      <c r="AK55" s="179" t="s">
        <v>522</v>
      </c>
      <c r="AL55" s="786"/>
      <c r="AM55" s="786"/>
      <c r="AN55" s="786"/>
      <c r="AO55" s="786"/>
      <c r="AP55" s="786"/>
      <c r="AQ55" s="786"/>
      <c r="AR55" s="786"/>
      <c r="AS55" s="786"/>
      <c r="AT55" s="786"/>
      <c r="AU55" s="817"/>
      <c r="AV55" s="786"/>
      <c r="AW55" s="817"/>
      <c r="AX55" s="786"/>
      <c r="AY55" s="786"/>
      <c r="AZ55" s="786"/>
      <c r="BA55" s="786"/>
      <c r="BB55" s="790"/>
      <c r="BC55" s="1307"/>
      <c r="BE55" s="66"/>
      <c r="BF55" s="66"/>
      <c r="BG55" s="66"/>
      <c r="BH55" s="66"/>
      <c r="BI55" s="10">
        <v>11</v>
      </c>
    </row>
    <row r="56" spans="1:61" ht="11.45" customHeight="1">
      <c r="A56" s="766" t="s">
        <v>276</v>
      </c>
      <c r="B56" s="766" t="s">
        <v>277</v>
      </c>
      <c r="C56" s="766" t="s">
        <v>278</v>
      </c>
      <c r="D56" s="766" t="s">
        <v>528</v>
      </c>
      <c r="E56" s="1284"/>
      <c r="F56" s="1284"/>
      <c r="G56" s="1284"/>
      <c r="H56" s="1284"/>
      <c r="I56" s="1286"/>
      <c r="J56" s="1286"/>
      <c r="K56" s="1285"/>
      <c r="L56" s="767"/>
      <c r="P56" s="1287"/>
      <c r="Q56" s="1287"/>
      <c r="R56" s="206"/>
      <c r="S56" s="1342"/>
      <c r="T56" s="1362"/>
      <c r="U56" s="168"/>
      <c r="V56" s="786"/>
      <c r="W56" s="787" t="str">
        <f>Z52&amp;"-"&amp;AB52</f>
        <v>-</v>
      </c>
      <c r="X56" s="786"/>
      <c r="Y56" s="787" t="str">
        <f>AB52&amp;"-"&amp;AD52</f>
        <v>-да</v>
      </c>
      <c r="Z56" s="786"/>
      <c r="AA56" s="786"/>
      <c r="AB56" s="786"/>
      <c r="AC56" s="786"/>
      <c r="AD56" s="1161"/>
      <c r="AE56" s="178"/>
      <c r="AF56" s="180"/>
      <c r="AG56" s="51" t="s">
        <v>504</v>
      </c>
      <c r="AH56" s="786"/>
      <c r="AI56" s="786"/>
      <c r="AJ56" s="786"/>
      <c r="AK56" s="786"/>
      <c r="AL56" s="786"/>
      <c r="AM56" s="786"/>
      <c r="AN56" s="786"/>
      <c r="AO56" s="786"/>
      <c r="AP56" s="786"/>
      <c r="AQ56" s="786"/>
      <c r="AR56" s="786"/>
      <c r="AS56" s="786"/>
      <c r="AT56" s="786"/>
      <c r="AU56" s="787" t="str">
        <f>AX52&amp;"-"&amp;AZ52</f>
        <v>-</v>
      </c>
      <c r="AV56" s="786"/>
      <c r="AW56" s="787" t="str">
        <f>AZ52&amp;"-"&amp;BB52</f>
        <v>-</v>
      </c>
      <c r="AX56" s="786"/>
      <c r="AY56" s="786"/>
      <c r="AZ56" s="786"/>
      <c r="BA56" s="786"/>
      <c r="BB56" s="789" t="str">
        <f>BE52&amp;"-"&amp;BG52</f>
        <v>-</v>
      </c>
      <c r="BC56" s="1307"/>
      <c r="BE56" s="66"/>
      <c r="BF56" s="66" t="str">
        <f t="shared" ref="BF56:BF63" si="4">IF(T56="","",T56)</f>
        <v/>
      </c>
      <c r="BG56" s="66"/>
      <c r="BH56" s="66"/>
      <c r="BI56" s="10">
        <v>11</v>
      </c>
    </row>
    <row r="57" spans="1:61" ht="11.45" customHeight="1">
      <c r="A57" s="766" t="s">
        <v>276</v>
      </c>
      <c r="B57" s="766" t="s">
        <v>277</v>
      </c>
      <c r="C57" s="766" t="s">
        <v>278</v>
      </c>
      <c r="D57" s="766" t="s">
        <v>528</v>
      </c>
      <c r="E57" s="1284"/>
      <c r="F57" s="1284"/>
      <c r="G57" s="1284"/>
      <c r="H57" s="1284"/>
      <c r="I57" s="1286"/>
      <c r="J57" s="1285"/>
      <c r="K57" s="766"/>
      <c r="L57" s="767"/>
      <c r="P57" s="1287"/>
      <c r="Q57" s="1287"/>
      <c r="R57" s="205"/>
      <c r="S57" s="739"/>
      <c r="T57" s="163" t="s">
        <v>465</v>
      </c>
      <c r="U57" s="210"/>
      <c r="V57" s="210"/>
      <c r="W57" s="210"/>
      <c r="X57" s="210"/>
      <c r="Y57" s="210"/>
      <c r="Z57" s="210"/>
      <c r="AA57" s="210"/>
      <c r="AB57" s="210"/>
      <c r="AC57" s="187"/>
      <c r="AD57" s="825"/>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187"/>
      <c r="BC57" s="1308"/>
      <c r="BE57" s="66"/>
      <c r="BF57" s="66" t="str">
        <f t="shared" si="4"/>
        <v>Добавить строку</v>
      </c>
      <c r="BG57" s="66"/>
      <c r="BH57" s="66"/>
      <c r="BI57" s="10">
        <v>11</v>
      </c>
    </row>
    <row r="58" spans="1:61" s="65" customFormat="1" ht="0" hidden="1" customHeight="1">
      <c r="A58" s="142" t="s">
        <v>276</v>
      </c>
      <c r="B58" s="142" t="s">
        <v>277</v>
      </c>
      <c r="C58" s="142" t="s">
        <v>278</v>
      </c>
      <c r="D58" s="142" t="s">
        <v>528</v>
      </c>
      <c r="E58" s="1284"/>
      <c r="F58" s="1284"/>
      <c r="G58" s="1284"/>
      <c r="H58" s="1284"/>
      <c r="I58" s="1285"/>
      <c r="J58" s="142"/>
      <c r="K58" s="142"/>
      <c r="L58" s="343"/>
      <c r="M58" s="287"/>
      <c r="N58" s="287"/>
      <c r="O58" s="287"/>
      <c r="P58" s="1287"/>
      <c r="Q58" s="119"/>
      <c r="R58" s="205"/>
      <c r="S58" s="779"/>
      <c r="T58" s="780"/>
      <c r="U58" s="781"/>
      <c r="V58" s="781"/>
      <c r="W58" s="781"/>
      <c r="X58" s="781"/>
      <c r="Y58" s="781"/>
      <c r="Z58" s="781"/>
      <c r="AA58" s="781"/>
      <c r="AB58" s="781"/>
      <c r="AC58" s="781"/>
      <c r="AD58" s="781"/>
      <c r="AE58" s="781"/>
      <c r="AF58" s="781"/>
      <c r="AG58" s="781"/>
      <c r="AH58" s="781"/>
      <c r="AI58" s="781"/>
      <c r="AJ58" s="781"/>
      <c r="AK58" s="781"/>
      <c r="AL58" s="781"/>
      <c r="AM58" s="781"/>
      <c r="AN58" s="781"/>
      <c r="AO58" s="781"/>
      <c r="AP58" s="781"/>
      <c r="AQ58" s="781"/>
      <c r="AR58" s="781"/>
      <c r="AS58" s="781"/>
      <c r="AT58" s="781"/>
      <c r="AU58" s="781"/>
      <c r="AV58" s="781"/>
      <c r="AW58" s="781"/>
      <c r="AX58" s="781"/>
      <c r="AY58" s="781"/>
      <c r="AZ58" s="781"/>
      <c r="BA58" s="781"/>
      <c r="BB58" s="781"/>
      <c r="BC58" s="782"/>
      <c r="BE58" s="66"/>
      <c r="BF58" s="66" t="str">
        <f t="shared" si="4"/>
        <v/>
      </c>
      <c r="BG58" s="66"/>
      <c r="BH58" s="66"/>
      <c r="BI58" s="65">
        <v>0</v>
      </c>
    </row>
    <row r="59" spans="1:61" s="65" customFormat="1" ht="0" hidden="1" customHeight="1">
      <c r="A59" s="142" t="s">
        <v>276</v>
      </c>
      <c r="B59" s="142" t="s">
        <v>277</v>
      </c>
      <c r="C59" s="142" t="s">
        <v>278</v>
      </c>
      <c r="D59" s="142" t="s">
        <v>528</v>
      </c>
      <c r="E59" s="1284"/>
      <c r="F59" s="1284"/>
      <c r="G59" s="1284"/>
      <c r="H59" s="1283"/>
      <c r="I59" s="142"/>
      <c r="J59" s="142"/>
      <c r="K59" s="142"/>
      <c r="L59" s="343"/>
      <c r="M59" s="290"/>
      <c r="N59" s="290"/>
      <c r="P59" s="101"/>
      <c r="Q59" s="752"/>
      <c r="R59" s="793"/>
      <c r="S59" s="779"/>
      <c r="T59" s="780"/>
      <c r="U59" s="781"/>
      <c r="V59" s="781"/>
      <c r="W59" s="781"/>
      <c r="X59" s="781"/>
      <c r="Y59" s="781"/>
      <c r="Z59" s="781"/>
      <c r="AA59" s="781"/>
      <c r="AB59" s="781"/>
      <c r="AC59" s="781"/>
      <c r="AD59" s="781"/>
      <c r="AE59" s="781"/>
      <c r="AF59" s="781"/>
      <c r="AG59" s="781"/>
      <c r="AH59" s="781"/>
      <c r="AI59" s="781"/>
      <c r="AJ59" s="781"/>
      <c r="AK59" s="781"/>
      <c r="AL59" s="781"/>
      <c r="AM59" s="781"/>
      <c r="AN59" s="781"/>
      <c r="AO59" s="781"/>
      <c r="AP59" s="781"/>
      <c r="AQ59" s="781"/>
      <c r="AR59" s="781"/>
      <c r="AS59" s="781"/>
      <c r="AT59" s="781"/>
      <c r="AU59" s="781"/>
      <c r="AV59" s="781"/>
      <c r="AW59" s="781"/>
      <c r="AX59" s="781"/>
      <c r="AY59" s="781"/>
      <c r="AZ59" s="781"/>
      <c r="BA59" s="781"/>
      <c r="BB59" s="781"/>
      <c r="BC59" s="782"/>
      <c r="BE59" s="66"/>
      <c r="BF59" s="66" t="str">
        <f t="shared" si="4"/>
        <v/>
      </c>
      <c r="BG59" s="66"/>
      <c r="BH59" s="66"/>
      <c r="BI59" s="65">
        <v>0</v>
      </c>
    </row>
    <row r="60" spans="1:61" s="65" customFormat="1" ht="0" hidden="1" customHeight="1">
      <c r="A60" s="142" t="s">
        <v>276</v>
      </c>
      <c r="B60" s="142" t="s">
        <v>277</v>
      </c>
      <c r="C60" s="142" t="s">
        <v>278</v>
      </c>
      <c r="D60" s="142"/>
      <c r="E60" s="1284"/>
      <c r="F60" s="1284"/>
      <c r="G60" s="1283"/>
      <c r="H60" s="142"/>
      <c r="I60" s="142"/>
      <c r="J60" s="142"/>
      <c r="K60" s="142"/>
      <c r="L60" s="343"/>
      <c r="M60" s="290"/>
      <c r="N60" s="290"/>
      <c r="P60" s="101"/>
      <c r="Q60" s="752"/>
      <c r="R60" s="101"/>
      <c r="S60" s="757"/>
      <c r="T60" s="759"/>
      <c r="U60" s="310"/>
      <c r="V60" s="310"/>
      <c r="W60" s="310"/>
      <c r="X60" s="310"/>
      <c r="Y60" s="310"/>
      <c r="Z60" s="310"/>
      <c r="AA60" s="310"/>
      <c r="AB60" s="310"/>
      <c r="AC60" s="310"/>
      <c r="AD60" s="310"/>
      <c r="AE60" s="310"/>
      <c r="AF60" s="310"/>
      <c r="AG60" s="310"/>
      <c r="AH60" s="310"/>
      <c r="AI60" s="310"/>
      <c r="AJ60" s="310"/>
      <c r="AK60" s="310"/>
      <c r="AL60" s="310"/>
      <c r="AM60" s="310"/>
      <c r="AN60" s="310"/>
      <c r="AO60" s="310"/>
      <c r="AP60" s="310"/>
      <c r="AQ60" s="310"/>
      <c r="AR60" s="310"/>
      <c r="AS60" s="310"/>
      <c r="AT60" s="310"/>
      <c r="AU60" s="310"/>
      <c r="AV60" s="310"/>
      <c r="AW60" s="310"/>
      <c r="AX60" s="310"/>
      <c r="AY60" s="310"/>
      <c r="AZ60" s="310"/>
      <c r="BA60" s="310"/>
      <c r="BB60" s="310"/>
      <c r="BC60" s="310"/>
      <c r="BE60" s="66"/>
      <c r="BF60" s="66" t="str">
        <f t="shared" si="4"/>
        <v/>
      </c>
      <c r="BG60" s="66"/>
      <c r="BH60" s="66"/>
      <c r="BI60" s="65">
        <v>0</v>
      </c>
    </row>
    <row r="61" spans="1:61" s="65" customFormat="1" ht="0" hidden="1" customHeight="1">
      <c r="A61" s="142" t="s">
        <v>276</v>
      </c>
      <c r="B61" s="142" t="s">
        <v>277</v>
      </c>
      <c r="C61" s="142"/>
      <c r="D61" s="142"/>
      <c r="E61" s="1284"/>
      <c r="F61" s="1283"/>
      <c r="G61" s="142"/>
      <c r="H61" s="142"/>
      <c r="I61" s="142"/>
      <c r="J61" s="142"/>
      <c r="K61" s="142"/>
      <c r="L61" s="343"/>
      <c r="M61" s="756"/>
      <c r="N61" s="756"/>
      <c r="P61" s="101"/>
      <c r="Q61" s="752"/>
      <c r="R61" s="101"/>
      <c r="S61" s="757"/>
      <c r="T61" s="759" t="s">
        <v>231</v>
      </c>
      <c r="U61" s="310"/>
      <c r="V61" s="310"/>
      <c r="W61" s="310"/>
      <c r="X61" s="310"/>
      <c r="Y61" s="310"/>
      <c r="Z61" s="310"/>
      <c r="AA61" s="310"/>
      <c r="AB61" s="310"/>
      <c r="AC61" s="310"/>
      <c r="AD61" s="310"/>
      <c r="AE61" s="310"/>
      <c r="AF61" s="310"/>
      <c r="AG61" s="310"/>
      <c r="AH61" s="310"/>
      <c r="AI61" s="310"/>
      <c r="AJ61" s="310"/>
      <c r="AK61" s="310"/>
      <c r="AL61" s="310"/>
      <c r="AM61" s="310"/>
      <c r="AN61" s="310"/>
      <c r="AO61" s="310"/>
      <c r="AP61" s="310"/>
      <c r="AQ61" s="310"/>
      <c r="AR61" s="310"/>
      <c r="AS61" s="310"/>
      <c r="AT61" s="310"/>
      <c r="AU61" s="310"/>
      <c r="AV61" s="310"/>
      <c r="AW61" s="310"/>
      <c r="AX61" s="310"/>
      <c r="AY61" s="310"/>
      <c r="AZ61" s="310"/>
      <c r="BA61" s="310"/>
      <c r="BB61" s="310"/>
      <c r="BC61" s="310"/>
      <c r="BE61" s="66"/>
      <c r="BF61" s="66" t="str">
        <f t="shared" si="4"/>
        <v>Добавить централизованную систему для дифференциации</v>
      </c>
      <c r="BG61" s="66"/>
      <c r="BH61" s="66"/>
      <c r="BI61" s="65">
        <v>0</v>
      </c>
    </row>
    <row r="62" spans="1:61" s="65" customFormat="1" ht="0" hidden="1" customHeight="1">
      <c r="A62" s="142" t="s">
        <v>276</v>
      </c>
      <c r="B62" s="142"/>
      <c r="C62" s="142"/>
      <c r="D62" s="142"/>
      <c r="E62" s="1283"/>
      <c r="F62" s="142"/>
      <c r="G62" s="142"/>
      <c r="H62" s="142"/>
      <c r="I62" s="142"/>
      <c r="J62" s="142"/>
      <c r="K62" s="142"/>
      <c r="L62" s="343"/>
      <c r="M62" s="756"/>
      <c r="N62" s="756"/>
      <c r="P62" s="101"/>
      <c r="Q62" s="752"/>
      <c r="R62" s="101"/>
      <c r="S62" s="757"/>
      <c r="T62" s="759" t="s">
        <v>232</v>
      </c>
      <c r="U62" s="310"/>
      <c r="V62" s="310"/>
      <c r="W62" s="310"/>
      <c r="X62" s="310"/>
      <c r="Y62" s="310"/>
      <c r="Z62" s="310"/>
      <c r="AA62" s="310"/>
      <c r="AB62" s="310"/>
      <c r="AC62" s="310"/>
      <c r="AD62" s="310"/>
      <c r="AE62" s="310"/>
      <c r="AF62" s="310"/>
      <c r="AG62" s="310"/>
      <c r="AH62" s="310"/>
      <c r="AI62" s="310"/>
      <c r="AJ62" s="310"/>
      <c r="AK62" s="310"/>
      <c r="AL62" s="310"/>
      <c r="AM62" s="310"/>
      <c r="AN62" s="310"/>
      <c r="AO62" s="310"/>
      <c r="AP62" s="310"/>
      <c r="AQ62" s="310"/>
      <c r="AR62" s="310"/>
      <c r="AS62" s="310"/>
      <c r="AT62" s="310"/>
      <c r="AU62" s="310"/>
      <c r="AV62" s="310"/>
      <c r="AW62" s="310"/>
      <c r="AX62" s="310"/>
      <c r="AY62" s="310"/>
      <c r="AZ62" s="310"/>
      <c r="BA62" s="310"/>
      <c r="BB62" s="310"/>
      <c r="BC62" s="310"/>
      <c r="BE62" s="66"/>
      <c r="BF62" s="66" t="str">
        <f t="shared" si="4"/>
        <v>Добавить территорию для дифференциации</v>
      </c>
      <c r="BG62" s="66"/>
      <c r="BH62" s="66"/>
      <c r="BI62" s="65">
        <v>0</v>
      </c>
    </row>
    <row r="63" spans="1:61" s="65" customFormat="1" ht="0" hidden="1" customHeight="1">
      <c r="A63" s="142"/>
      <c r="B63" s="142"/>
      <c r="C63" s="142"/>
      <c r="D63" s="142"/>
      <c r="E63" s="142"/>
      <c r="F63" s="142"/>
      <c r="G63" s="142"/>
      <c r="H63" s="142"/>
      <c r="I63" s="142"/>
      <c r="J63" s="142"/>
      <c r="K63" s="142"/>
      <c r="L63" s="343"/>
      <c r="M63" s="756"/>
      <c r="N63" s="756"/>
      <c r="P63" s="101"/>
      <c r="Q63" s="752"/>
      <c r="R63" s="101"/>
      <c r="S63" s="757"/>
      <c r="T63" s="759" t="s">
        <v>233</v>
      </c>
      <c r="U63" s="310"/>
      <c r="V63" s="310"/>
      <c r="W63" s="310"/>
      <c r="X63" s="310"/>
      <c r="Y63" s="310"/>
      <c r="Z63" s="310"/>
      <c r="AA63" s="310"/>
      <c r="AB63" s="310"/>
      <c r="AC63" s="310"/>
      <c r="AD63" s="310"/>
      <c r="AE63" s="310"/>
      <c r="AF63" s="310"/>
      <c r="AG63" s="310"/>
      <c r="AH63" s="310"/>
      <c r="AI63" s="310"/>
      <c r="AJ63" s="310"/>
      <c r="AK63" s="310"/>
      <c r="AL63" s="310"/>
      <c r="AM63" s="310"/>
      <c r="AN63" s="310"/>
      <c r="AO63" s="310"/>
      <c r="AP63" s="310"/>
      <c r="AQ63" s="310"/>
      <c r="AR63" s="310"/>
      <c r="AS63" s="310"/>
      <c r="AT63" s="310"/>
      <c r="AU63" s="310"/>
      <c r="AV63" s="310"/>
      <c r="AW63" s="310"/>
      <c r="AX63" s="310"/>
      <c r="AY63" s="310"/>
      <c r="AZ63" s="310"/>
      <c r="BA63" s="310"/>
      <c r="BB63" s="310"/>
      <c r="BC63" s="310"/>
      <c r="BE63" s="66"/>
      <c r="BF63" s="66" t="str">
        <f t="shared" si="4"/>
        <v>Добавить наименование тарифа</v>
      </c>
      <c r="BG63" s="66"/>
      <c r="BH63" s="66"/>
      <c r="BI63" s="65">
        <v>0</v>
      </c>
    </row>
    <row r="64" spans="1:61" ht="11.45" customHeight="1">
      <c r="M64" s="60"/>
      <c r="N64" s="60"/>
      <c r="O64" s="60"/>
      <c r="P64" s="60"/>
      <c r="Q64" s="60"/>
      <c r="R64" s="10"/>
      <c r="S64" s="10"/>
      <c r="BD64" s="10"/>
      <c r="BE64" s="10"/>
      <c r="BF64" s="10"/>
      <c r="BG64" s="10"/>
      <c r="BH64" s="10"/>
      <c r="BI64" s="10">
        <v>11</v>
      </c>
    </row>
    <row r="65" spans="1:61" ht="14.65" customHeight="1">
      <c r="O65" s="60"/>
      <c r="S65" s="195"/>
      <c r="T65" s="1282"/>
      <c r="U65" s="1282"/>
      <c r="V65" s="1282"/>
      <c r="W65" s="1282"/>
      <c r="X65" s="1282"/>
      <c r="Y65" s="1282"/>
      <c r="Z65" s="1282"/>
      <c r="AA65" s="1282"/>
      <c r="AB65" s="1282"/>
      <c r="AC65" s="1282"/>
      <c r="AD65" s="1282"/>
      <c r="AE65" s="1282"/>
      <c r="AF65" s="1282"/>
      <c r="AG65" s="1282"/>
      <c r="AH65" s="1282"/>
      <c r="AI65" s="1282"/>
      <c r="AJ65" s="1282"/>
      <c r="AK65" s="1282"/>
      <c r="AL65" s="1282"/>
      <c r="AM65" s="1282"/>
      <c r="AN65" s="1282"/>
      <c r="AO65" s="1282"/>
      <c r="AP65" s="1282"/>
      <c r="AQ65" s="1282"/>
      <c r="AR65" s="1282"/>
      <c r="AS65" s="1282"/>
      <c r="AT65" s="1282"/>
      <c r="AU65" s="1282"/>
      <c r="AV65" s="1282"/>
      <c r="AW65" s="1282"/>
      <c r="AX65" s="1282"/>
      <c r="AY65" s="1282"/>
      <c r="AZ65" s="1282"/>
      <c r="BA65" s="1282"/>
      <c r="BB65" s="1282"/>
      <c r="BC65" s="1282"/>
      <c r="BI65" s="10">
        <v>14</v>
      </c>
    </row>
    <row r="66" spans="1:61" ht="14.65" customHeight="1">
      <c r="O66" s="60"/>
      <c r="T66" s="370"/>
      <c r="U66" s="370"/>
      <c r="V66" s="370"/>
      <c r="W66" s="370"/>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0"/>
      <c r="AZ66" s="370"/>
      <c r="BA66" s="370"/>
      <c r="BB66" s="370"/>
      <c r="BC66" s="370"/>
      <c r="BI66" s="10">
        <v>14</v>
      </c>
    </row>
    <row r="67" spans="1:61" ht="14.65" customHeight="1">
      <c r="O67" s="60"/>
      <c r="S67" s="195"/>
      <c r="T67" s="1282"/>
      <c r="U67" s="1282"/>
      <c r="V67" s="1282"/>
      <c r="W67" s="1282"/>
      <c r="X67" s="1282"/>
      <c r="Y67" s="1282"/>
      <c r="Z67" s="1282"/>
      <c r="AA67" s="1282"/>
      <c r="AB67" s="1282"/>
      <c r="AC67" s="1282"/>
      <c r="AD67" s="1282"/>
      <c r="AE67" s="1282"/>
      <c r="AF67" s="1282"/>
      <c r="AG67" s="1282"/>
      <c r="AH67" s="1282"/>
      <c r="AI67" s="1282"/>
      <c r="AJ67" s="1282"/>
      <c r="AK67" s="1282"/>
      <c r="AL67" s="1282"/>
      <c r="AM67" s="1282"/>
      <c r="AN67" s="1282"/>
      <c r="AO67" s="1282"/>
      <c r="AP67" s="1282"/>
      <c r="AQ67" s="1282"/>
      <c r="AR67" s="1282"/>
      <c r="AS67" s="1282"/>
      <c r="AT67" s="1282"/>
      <c r="AU67" s="1282"/>
      <c r="AV67" s="1282"/>
      <c r="AW67" s="1282"/>
      <c r="AX67" s="1282"/>
      <c r="AY67" s="1282"/>
      <c r="AZ67" s="1282"/>
      <c r="BA67" s="1282"/>
      <c r="BB67" s="1282"/>
      <c r="BC67" s="1282"/>
      <c r="BI67" s="10">
        <v>14</v>
      </c>
    </row>
    <row r="68" spans="1:61" ht="14.65" customHeight="1">
      <c r="O68" s="60"/>
      <c r="BI68" s="10">
        <v>14</v>
      </c>
    </row>
    <row r="69" spans="1:61" ht="14.25" hidden="1" customHeight="1">
      <c r="A69" s="60" t="s">
        <v>80</v>
      </c>
      <c r="B69" s="60">
        <v>0</v>
      </c>
      <c r="C69" s="60">
        <v>0</v>
      </c>
      <c r="D69" s="60">
        <v>0</v>
      </c>
      <c r="E69" s="60">
        <v>0</v>
      </c>
      <c r="F69" s="60">
        <v>0</v>
      </c>
      <c r="G69" s="60">
        <v>0</v>
      </c>
      <c r="H69" s="60">
        <v>0</v>
      </c>
      <c r="I69" s="60">
        <v>0</v>
      </c>
      <c r="J69" s="60">
        <v>0</v>
      </c>
      <c r="K69" s="60">
        <v>0</v>
      </c>
      <c r="L69" s="298">
        <v>0</v>
      </c>
      <c r="M69" s="503">
        <v>0</v>
      </c>
      <c r="N69" s="503">
        <v>0</v>
      </c>
      <c r="O69" s="503">
        <v>0</v>
      </c>
      <c r="P69" s="503">
        <v>0</v>
      </c>
      <c r="Q69" s="769">
        <v>0</v>
      </c>
      <c r="R69" s="28">
        <v>3</v>
      </c>
      <c r="S69" s="339">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5">
        <v>10</v>
      </c>
      <c r="BE69" s="65">
        <v>10</v>
      </c>
      <c r="BF69" s="65">
        <v>10</v>
      </c>
      <c r="BG69" s="65">
        <v>10</v>
      </c>
      <c r="BH69" s="65">
        <v>10</v>
      </c>
      <c r="BI69" s="1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0" hidden="1" customWidth="1"/>
    <col min="2" max="2" width="6" style="60" hidden="1" customWidth="1"/>
    <col min="3" max="3" width="3" style="10" customWidth="1"/>
    <col min="4" max="4" width="3" style="74" customWidth="1"/>
    <col min="5" max="5" width="6" style="10" customWidth="1"/>
    <col min="6" max="6" width="2.7109375" style="10" hidden="1" customWidth="1"/>
    <col min="7" max="7" width="46.7109375" style="10" customWidth="1"/>
    <col min="8" max="8" width="42" style="10" customWidth="1"/>
    <col min="9" max="9" width="14" style="10" customWidth="1"/>
    <col min="10" max="10" width="3" style="66" customWidth="1"/>
    <col min="11" max="13" width="9.140625" style="66" hidden="1"/>
    <col min="14" max="14" width="25.7109375" style="66" hidden="1" customWidth="1"/>
    <col min="15" max="15" width="14.42578125" style="66" hidden="1" customWidth="1"/>
    <col min="16" max="19" width="9.140625" style="123" hidden="1"/>
    <col min="20" max="27" width="9.140625" style="10" hidden="1"/>
    <col min="28" max="28" width="8" style="10" customWidth="1"/>
    <col min="29" max="29" width="9.140625" style="10" hidden="1"/>
  </cols>
  <sheetData>
    <row r="1" spans="1:29" s="65" customFormat="1" ht="5.25" hidden="1" customHeight="1">
      <c r="A1" s="200"/>
      <c r="D1" s="119"/>
      <c r="G1" s="142" t="s">
        <v>81</v>
      </c>
      <c r="H1" s="119" t="s">
        <v>82</v>
      </c>
      <c r="I1" s="124" t="s">
        <v>83</v>
      </c>
      <c r="J1" s="142" t="s">
        <v>81</v>
      </c>
      <c r="K1" s="142"/>
      <c r="L1" s="142"/>
      <c r="M1" s="142"/>
      <c r="N1" s="142"/>
      <c r="O1" s="142"/>
      <c r="P1" s="142"/>
      <c r="Q1" s="142"/>
      <c r="R1" s="142"/>
      <c r="S1" s="142"/>
      <c r="T1" s="124"/>
      <c r="U1" s="124"/>
      <c r="V1" s="124"/>
      <c r="W1" s="124"/>
      <c r="X1" s="124"/>
      <c r="Y1" s="124"/>
      <c r="Z1" s="124"/>
      <c r="AA1" s="124"/>
      <c r="AB1" s="124"/>
      <c r="AC1" s="65" t="s">
        <v>14</v>
      </c>
    </row>
    <row r="2" spans="1:29" s="128" customFormat="1" ht="11.25" customHeight="1">
      <c r="A2" s="77"/>
      <c r="B2" s="125"/>
      <c r="C2" s="125"/>
      <c r="D2" s="126"/>
      <c r="E2" s="125"/>
      <c r="F2" s="125"/>
      <c r="G2" s="125"/>
      <c r="H2" s="125"/>
      <c r="I2" s="125"/>
      <c r="J2" s="142"/>
      <c r="K2" s="142"/>
      <c r="L2" s="142"/>
      <c r="M2" s="142"/>
      <c r="N2" s="142"/>
      <c r="O2" s="142"/>
      <c r="P2" s="127"/>
      <c r="Q2" s="127"/>
      <c r="R2" s="127"/>
      <c r="S2" s="127"/>
      <c r="T2" s="126"/>
      <c r="U2" s="126"/>
      <c r="V2" s="126"/>
      <c r="W2" s="126"/>
      <c r="X2" s="126"/>
      <c r="Y2" s="126"/>
      <c r="Z2" s="126"/>
      <c r="AA2" s="126"/>
      <c r="AB2" s="126"/>
      <c r="AC2" s="128">
        <v>11</v>
      </c>
    </row>
    <row r="3" spans="1:29" s="44" customFormat="1" ht="3" customHeight="1">
      <c r="A3" s="10"/>
      <c r="B3" s="60"/>
      <c r="C3" s="10"/>
      <c r="D3" s="74"/>
      <c r="E3" s="10"/>
      <c r="F3" s="10"/>
      <c r="G3" s="10"/>
      <c r="H3" s="10"/>
      <c r="I3" s="75"/>
      <c r="J3" s="142"/>
      <c r="K3" s="66"/>
      <c r="L3" s="66"/>
      <c r="M3" s="66"/>
      <c r="N3" s="66"/>
      <c r="O3" s="66"/>
      <c r="P3" s="123"/>
      <c r="Q3" s="123"/>
      <c r="R3" s="123"/>
      <c r="S3" s="123"/>
      <c r="AC3" s="44">
        <v>3</v>
      </c>
    </row>
    <row r="4" spans="1:29" s="44" customFormat="1" ht="27.4" customHeight="1">
      <c r="A4" s="10"/>
      <c r="B4" s="60"/>
      <c r="C4" s="10"/>
      <c r="D4" s="74"/>
      <c r="E4" s="1132" t="str">
        <f>NameTemplatesInListMO</f>
        <v>Перечень муниципальных районов и муниципальных образований (территорий действия тарифа)</v>
      </c>
      <c r="F4" s="1132"/>
      <c r="G4" s="1132"/>
      <c r="H4" s="1132"/>
      <c r="I4" s="1132"/>
      <c r="J4" s="142"/>
      <c r="K4" s="66"/>
      <c r="L4" s="66"/>
      <c r="M4" s="66"/>
      <c r="N4" s="66"/>
      <c r="O4" s="66"/>
      <c r="P4" s="123"/>
      <c r="Q4" s="123"/>
      <c r="R4" s="123"/>
      <c r="S4" s="123"/>
      <c r="AC4" s="44">
        <v>26</v>
      </c>
    </row>
    <row r="5" spans="1:29" s="44" customFormat="1" ht="3" customHeight="1">
      <c r="A5" s="10"/>
      <c r="B5" s="60"/>
      <c r="C5" s="10"/>
      <c r="D5" s="74"/>
      <c r="E5" s="10"/>
      <c r="F5" s="10"/>
      <c r="G5" s="76"/>
      <c r="H5" s="76"/>
      <c r="I5" s="77"/>
      <c r="J5" s="66"/>
      <c r="K5" s="66"/>
      <c r="L5" s="66"/>
      <c r="M5" s="66"/>
      <c r="N5" s="66"/>
      <c r="O5" s="66"/>
      <c r="P5" s="123"/>
      <c r="Q5" s="123"/>
      <c r="R5" s="123"/>
      <c r="S5" s="123"/>
      <c r="AC5" s="44">
        <v>3</v>
      </c>
    </row>
    <row r="6" spans="1:29" s="44" customFormat="1" ht="20.25" hidden="1" customHeight="1">
      <c r="A6" s="33"/>
      <c r="B6" s="59"/>
      <c r="C6" s="33"/>
      <c r="D6" s="74"/>
      <c r="E6" s="53"/>
      <c r="F6" s="53"/>
      <c r="G6" s="76"/>
      <c r="H6" s="78"/>
      <c r="I6" s="78"/>
      <c r="J6" s="66"/>
      <c r="K6" s="66"/>
      <c r="L6" s="66"/>
      <c r="M6" s="66"/>
      <c r="N6" s="66"/>
      <c r="O6" s="66"/>
      <c r="P6" s="123"/>
      <c r="Q6" s="123"/>
      <c r="R6" s="123"/>
      <c r="S6" s="123"/>
      <c r="AC6" s="44">
        <v>0</v>
      </c>
    </row>
    <row r="7" spans="1:29" ht="25.5" hidden="1" customHeight="1">
      <c r="AC7" s="10">
        <v>0</v>
      </c>
    </row>
    <row r="8" spans="1:29" s="44" customFormat="1" ht="14.65" customHeight="1">
      <c r="A8" s="10"/>
      <c r="B8" s="60"/>
      <c r="C8" s="10"/>
      <c r="D8" s="74"/>
      <c r="E8" s="1128" t="s">
        <v>84</v>
      </c>
      <c r="F8" s="1133"/>
      <c r="G8" s="1127"/>
      <c r="H8" s="1134" t="s">
        <v>85</v>
      </c>
      <c r="I8" s="1134"/>
      <c r="J8" s="66"/>
      <c r="K8" s="66"/>
      <c r="L8" s="66"/>
      <c r="M8" s="66"/>
      <c r="N8" s="66"/>
      <c r="O8" s="66"/>
      <c r="P8" s="123"/>
      <c r="Q8" s="123"/>
      <c r="R8" s="123"/>
      <c r="S8" s="123"/>
      <c r="AC8" s="44">
        <v>14</v>
      </c>
    </row>
    <row r="9" spans="1:29" s="44" customFormat="1" ht="21" customHeight="1">
      <c r="A9" s="10"/>
      <c r="B9" s="60"/>
      <c r="C9" s="10"/>
      <c r="D9" s="74"/>
      <c r="E9" s="443" t="s">
        <v>86</v>
      </c>
      <c r="F9" s="443"/>
      <c r="G9" s="80" t="s">
        <v>87</v>
      </c>
      <c r="H9" s="80" t="s">
        <v>87</v>
      </c>
      <c r="I9" s="80" t="s">
        <v>83</v>
      </c>
      <c r="J9" s="66"/>
      <c r="K9" s="66"/>
      <c r="L9" s="66"/>
      <c r="M9" s="66"/>
      <c r="N9" s="66"/>
      <c r="O9" s="66"/>
      <c r="P9" s="123"/>
      <c r="Q9" s="123"/>
      <c r="R9" s="123"/>
      <c r="S9" s="123"/>
      <c r="AC9" s="44">
        <v>20</v>
      </c>
    </row>
    <row r="10" spans="1:29" ht="11.45" customHeight="1">
      <c r="D10" s="84"/>
      <c r="E10" s="121" t="s">
        <v>88</v>
      </c>
      <c r="F10" s="121"/>
      <c r="G10" s="121" t="s">
        <v>89</v>
      </c>
      <c r="H10" s="121" t="s">
        <v>90</v>
      </c>
      <c r="I10" s="121" t="s">
        <v>91</v>
      </c>
      <c r="J10" s="79"/>
      <c r="K10" s="79"/>
      <c r="L10" s="79"/>
      <c r="M10" s="79"/>
      <c r="N10" s="79"/>
      <c r="O10" s="79"/>
      <c r="P10" s="122"/>
      <c r="Q10" s="122"/>
      <c r="R10" s="122"/>
      <c r="S10" s="122"/>
      <c r="AC10" s="10">
        <v>11</v>
      </c>
    </row>
    <row r="11" spans="1:29" s="44" customFormat="1" ht="1.1499999999999999" customHeight="1">
      <c r="A11" s="10"/>
      <c r="B11" s="60"/>
      <c r="C11" s="10"/>
      <c r="D11" s="74"/>
      <c r="E11" s="449"/>
      <c r="F11" s="449"/>
      <c r="G11" s="81"/>
      <c r="H11" s="81"/>
      <c r="I11" s="83"/>
      <c r="J11" s="143" t="s">
        <v>92</v>
      </c>
      <c r="K11" s="66"/>
      <c r="L11" s="66"/>
      <c r="M11" s="66" t="s">
        <v>93</v>
      </c>
      <c r="N11" s="66" t="s">
        <v>94</v>
      </c>
      <c r="O11" s="66" t="s">
        <v>95</v>
      </c>
      <c r="P11" s="123"/>
      <c r="Q11" s="123"/>
      <c r="R11" s="123"/>
      <c r="S11" s="123"/>
      <c r="AC11" s="44">
        <v>1</v>
      </c>
    </row>
    <row r="12" spans="1:29" s="44" customFormat="1" ht="15" customHeight="1">
      <c r="A12" s="1131">
        <v>1</v>
      </c>
      <c r="B12" s="60"/>
      <c r="C12" s="10"/>
      <c r="D12" s="74"/>
      <c r="E12" s="40">
        <f>A12</f>
        <v>1</v>
      </c>
      <c r="F12" s="313" t="s">
        <v>96</v>
      </c>
      <c r="G12" s="302" t="str">
        <f>"Территория "&amp;E12</f>
        <v>Территория 1</v>
      </c>
      <c r="H12" s="451"/>
      <c r="I12" s="451"/>
      <c r="J12" s="66"/>
      <c r="K12" s="66"/>
      <c r="L12" s="66"/>
      <c r="M12" s="66"/>
      <c r="N12" s="66"/>
      <c r="O12" s="66"/>
      <c r="P12" s="123"/>
      <c r="Q12" s="123"/>
      <c r="R12" s="123"/>
      <c r="S12" s="123"/>
      <c r="AC12" s="44">
        <v>14</v>
      </c>
    </row>
    <row r="13" spans="1:29" ht="15.75" customHeight="1">
      <c r="A13" s="1131"/>
      <c r="B13" s="60">
        <v>1</v>
      </c>
      <c r="C13" s="60"/>
      <c r="D13" s="458"/>
      <c r="E13" s="444" t="str">
        <f>A12&amp;"."&amp;B13</f>
        <v>1.1</v>
      </c>
      <c r="F13" s="454" t="s">
        <v>97</v>
      </c>
      <c r="G13" s="452" t="s">
        <v>98</v>
      </c>
      <c r="H13" s="452" t="s">
        <v>98</v>
      </c>
      <c r="I13" s="450" t="s">
        <v>99</v>
      </c>
      <c r="J13" s="66" t="e">
        <f ca="1">MERGEVALUE(G13)</f>
        <v>#NAME?</v>
      </c>
      <c r="K13" s="65"/>
      <c r="L13" s="65"/>
      <c r="M13" s="66" t="str">
        <f t="array" ref="M13">IF(ISERROR(MATCH(MID(N13,1,250),MID(note_ter,1,250),0)),"n","y")</f>
        <v>n</v>
      </c>
      <c r="N13" s="65"/>
      <c r="O13" s="66" t="str">
        <f>H13&amp;"("&amp;I13&amp;")"</f>
        <v>Березовский городской округ(65731000)</v>
      </c>
      <c r="P13" s="60"/>
      <c r="Q13" s="60"/>
      <c r="R13" s="233"/>
      <c r="S13" s="60"/>
      <c r="T13" s="60"/>
      <c r="U13" s="60"/>
      <c r="V13" s="59"/>
      <c r="W13" s="59"/>
      <c r="X13" s="101"/>
      <c r="Y13" s="101"/>
      <c r="Z13" s="101"/>
      <c r="AA13" s="101"/>
      <c r="AB13" s="101"/>
      <c r="AC13">
        <v>15</v>
      </c>
    </row>
    <row r="14" spans="1:29" ht="15.75" customHeight="1">
      <c r="A14" s="1131"/>
      <c r="C14" s="232"/>
      <c r="D14" s="459"/>
      <c r="E14" s="234"/>
      <c r="F14" s="85"/>
      <c r="G14" s="107" t="s">
        <v>100</v>
      </c>
      <c r="H14" s="94"/>
      <c r="I14" s="235"/>
      <c r="J14" s="65"/>
      <c r="K14" s="65"/>
      <c r="L14" s="65"/>
      <c r="M14" s="65"/>
      <c r="O14" s="65"/>
      <c r="P14" s="60"/>
      <c r="Q14" s="60"/>
      <c r="R14" s="233"/>
      <c r="S14" s="60"/>
      <c r="T14" s="60"/>
      <c r="U14" s="60"/>
      <c r="V14" s="59"/>
      <c r="W14" s="59"/>
      <c r="X14" s="101"/>
      <c r="Y14" s="101"/>
      <c r="Z14" s="101"/>
      <c r="AA14" s="101"/>
      <c r="AB14" s="101"/>
      <c r="AC14">
        <v>15</v>
      </c>
    </row>
    <row r="15" spans="1:29" s="44" customFormat="1" ht="14.65" customHeight="1">
      <c r="A15" s="10"/>
      <c r="B15" s="60"/>
      <c r="C15" s="10"/>
      <c r="D15" s="74"/>
      <c r="E15" s="453"/>
      <c r="F15" s="86"/>
      <c r="G15" s="51" t="s">
        <v>101</v>
      </c>
      <c r="H15" s="86"/>
      <c r="I15" s="87"/>
      <c r="J15" s="143"/>
      <c r="K15" s="66"/>
      <c r="L15" s="66"/>
      <c r="M15" s="66"/>
      <c r="N15" s="66" t="s">
        <v>102</v>
      </c>
      <c r="O15" s="66"/>
      <c r="P15" s="123"/>
      <c r="Q15" s="123"/>
      <c r="R15" s="123"/>
      <c r="S15" s="123"/>
      <c r="AC15" s="44">
        <v>14</v>
      </c>
    </row>
    <row r="16" spans="1:29" s="44" customFormat="1" ht="21.95" customHeight="1">
      <c r="A16" s="10"/>
      <c r="B16" s="60"/>
      <c r="C16" s="10"/>
      <c r="D16" s="74"/>
      <c r="E16" s="88"/>
      <c r="F16" s="88"/>
      <c r="G16" s="88"/>
      <c r="H16" s="88"/>
      <c r="I16" s="88"/>
      <c r="J16" s="66"/>
      <c r="K16" s="66"/>
      <c r="L16" s="66"/>
      <c r="M16" s="66"/>
      <c r="N16" s="66"/>
      <c r="O16" s="66"/>
      <c r="P16" s="123"/>
      <c r="Q16" s="123"/>
      <c r="R16" s="123"/>
      <c r="S16" s="123"/>
      <c r="AC16" s="44">
        <v>21</v>
      </c>
    </row>
    <row r="17" spans="1:29" s="44" customFormat="1" ht="14.65" customHeight="1">
      <c r="A17" s="10"/>
      <c r="B17" s="60"/>
      <c r="C17" s="10"/>
      <c r="D17" s="74"/>
      <c r="E17" s="10"/>
      <c r="F17" s="10"/>
      <c r="G17" s="10"/>
      <c r="H17" s="10"/>
      <c r="I17" s="10"/>
      <c r="J17" s="66"/>
      <c r="K17" s="66"/>
      <c r="L17" s="66"/>
      <c r="M17" s="66"/>
      <c r="N17" s="66"/>
      <c r="O17" s="66"/>
      <c r="P17" s="123"/>
      <c r="Q17" s="123"/>
      <c r="R17" s="123"/>
      <c r="S17" s="123"/>
      <c r="AC17" s="44">
        <v>14</v>
      </c>
    </row>
    <row r="18" spans="1:29" s="44" customFormat="1" ht="1.1499999999999999" customHeight="1">
      <c r="A18" s="10"/>
      <c r="B18" s="60"/>
      <c r="C18" s="10"/>
      <c r="D18" s="74"/>
      <c r="E18" s="10"/>
      <c r="F18" s="10"/>
      <c r="G18" s="10"/>
      <c r="H18" s="10"/>
      <c r="I18" s="10"/>
      <c r="J18" s="66"/>
      <c r="K18" s="66"/>
      <c r="L18" s="66"/>
      <c r="M18" s="66"/>
      <c r="N18" s="66"/>
      <c r="O18" s="66"/>
      <c r="P18" s="123"/>
      <c r="Q18" s="123"/>
      <c r="R18" s="123"/>
      <c r="S18" s="123"/>
      <c r="AC18" s="44">
        <v>1</v>
      </c>
    </row>
    <row r="19" spans="1:29" s="89" customFormat="1" ht="10.5" customHeight="1">
      <c r="B19" s="472"/>
      <c r="D19" s="90"/>
      <c r="J19" s="66"/>
      <c r="K19" s="66"/>
      <c r="L19" s="66"/>
      <c r="M19" s="66"/>
      <c r="N19" s="66"/>
      <c r="O19" s="66"/>
      <c r="P19" s="123"/>
      <c r="Q19" s="123"/>
      <c r="R19" s="123"/>
      <c r="S19" s="123"/>
      <c r="AC19" s="89">
        <v>10</v>
      </c>
    </row>
    <row r="20" spans="1:29" s="89" customFormat="1" ht="10.5" customHeight="1">
      <c r="B20" s="472"/>
      <c r="D20" s="90"/>
      <c r="J20" s="66"/>
      <c r="K20" s="66"/>
      <c r="L20" s="66"/>
      <c r="M20" s="66"/>
      <c r="N20" s="66"/>
      <c r="O20" s="66"/>
      <c r="P20" s="123"/>
      <c r="Q20" s="123"/>
      <c r="R20" s="123"/>
      <c r="S20" s="123"/>
      <c r="AC20" s="89">
        <v>10</v>
      </c>
    </row>
    <row r="21" spans="1:29" ht="14.65" customHeight="1">
      <c r="AC21" s="10">
        <v>14</v>
      </c>
    </row>
    <row r="22" spans="1:29" ht="14.65" customHeight="1">
      <c r="AC22" s="10">
        <v>14</v>
      </c>
    </row>
    <row r="23" spans="1:29" ht="14.65" customHeight="1">
      <c r="AC23" s="10">
        <v>14</v>
      </c>
    </row>
    <row r="24" spans="1:29" ht="14.65" customHeight="1">
      <c r="H24" s="2"/>
      <c r="AC24" s="10">
        <v>14</v>
      </c>
    </row>
    <row r="25" spans="1:29" ht="14.65" customHeight="1">
      <c r="AC25" s="10">
        <v>14</v>
      </c>
    </row>
    <row r="26" spans="1:29" ht="14.65" customHeight="1">
      <c r="AC26" s="10">
        <v>14</v>
      </c>
    </row>
    <row r="27" spans="1:29" ht="14.65" customHeight="1">
      <c r="AC27" s="10">
        <v>14</v>
      </c>
    </row>
    <row r="28" spans="1:29" ht="14.65" customHeight="1">
      <c r="J28" s="10"/>
      <c r="K28" s="10"/>
      <c r="L28" s="10"/>
      <c r="AC28" s="10">
        <v>14</v>
      </c>
    </row>
    <row r="29" spans="1:29" ht="22.5" hidden="1" customHeight="1">
      <c r="A29" s="10" t="s">
        <v>80</v>
      </c>
      <c r="B29" s="60">
        <v>0</v>
      </c>
      <c r="C29" s="10">
        <v>3</v>
      </c>
      <c r="D29" s="74">
        <v>3</v>
      </c>
      <c r="E29" s="10">
        <v>6</v>
      </c>
      <c r="F29" s="10">
        <v>0</v>
      </c>
      <c r="G29" s="10">
        <v>46</v>
      </c>
      <c r="H29" s="10">
        <v>42</v>
      </c>
      <c r="I29" s="10">
        <v>14</v>
      </c>
      <c r="J29" s="66">
        <v>3</v>
      </c>
      <c r="K29" s="66">
        <v>0</v>
      </c>
      <c r="L29" s="66">
        <v>0</v>
      </c>
      <c r="M29" s="66">
        <v>0</v>
      </c>
      <c r="N29" s="66">
        <v>0</v>
      </c>
      <c r="O29" s="66">
        <v>0</v>
      </c>
      <c r="P29" s="123">
        <v>0</v>
      </c>
      <c r="Q29" s="123">
        <v>0</v>
      </c>
      <c r="R29" s="123">
        <v>0</v>
      </c>
      <c r="S29" s="123">
        <v>0</v>
      </c>
      <c r="T29" s="10">
        <v>0</v>
      </c>
      <c r="U29" s="10">
        <v>0</v>
      </c>
      <c r="V29" s="10">
        <v>0</v>
      </c>
      <c r="W29" s="10">
        <v>0</v>
      </c>
      <c r="X29" s="10">
        <v>0</v>
      </c>
      <c r="Y29" s="10">
        <v>0</v>
      </c>
      <c r="Z29" s="10">
        <v>0</v>
      </c>
      <c r="AA29" s="10">
        <v>0</v>
      </c>
      <c r="AB29" s="10">
        <v>8</v>
      </c>
      <c r="AC29" s="10">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8" hidden="1" customWidth="1"/>
    <col min="13" max="14" width="12.28515625" style="503" hidden="1" customWidth="1"/>
    <col min="15" max="15" width="23.42578125" style="503" hidden="1" customWidth="1"/>
    <col min="16" max="16" width="3" style="32" customWidth="1"/>
    <col min="17" max="18" width="3" style="28" customWidth="1"/>
    <col min="19" max="19" width="12" style="339"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5" customWidth="1"/>
    <col min="51" max="51" width="10.5703125" style="10" hidden="1"/>
  </cols>
  <sheetData>
    <row r="1" spans="1:51" ht="22.5" hidden="1" customHeight="1">
      <c r="AY1" s="10" t="s">
        <v>14</v>
      </c>
    </row>
    <row r="2" spans="1:51" ht="23.25" hidden="1" customHeight="1">
      <c r="A2" s="766"/>
      <c r="B2" s="766"/>
      <c r="C2" s="766"/>
      <c r="D2" s="766"/>
      <c r="E2" s="1283">
        <v>1</v>
      </c>
      <c r="F2" s="766"/>
      <c r="G2" s="766"/>
      <c r="H2" s="766"/>
      <c r="I2" s="766"/>
      <c r="J2" s="766"/>
      <c r="K2" s="766"/>
      <c r="L2" s="767"/>
      <c r="M2" s="423"/>
      <c r="N2" s="423"/>
      <c r="O2" s="423"/>
      <c r="Q2" s="33"/>
      <c r="R2" s="204"/>
      <c r="S2" s="706" t="e">
        <f>INDEX(PT_DIFFERENTIATION_NUM_NTAR,MATCH(A2,PT_DIFFERENTIATION_NTAR_ID,0))</f>
        <v>#N/A</v>
      </c>
      <c r="T2" s="64" t="s">
        <v>121</v>
      </c>
      <c r="U2" s="168"/>
      <c r="V2" s="1277"/>
      <c r="W2" s="1278"/>
      <c r="X2" s="1278"/>
      <c r="Y2" s="1278"/>
      <c r="Z2" s="1278"/>
      <c r="AA2" s="1278"/>
      <c r="AB2" s="1278"/>
      <c r="AC2" s="1278"/>
      <c r="AD2" s="1278"/>
      <c r="AE2" s="1278"/>
      <c r="AF2" s="1279"/>
      <c r="AG2" s="1277" t="e">
        <f>INDEX(PT_DIFFERENTIATION_NTAR,MATCH(A2,PT_DIFFERENTIATION_NTAR_ID,0))</f>
        <v>#N/A</v>
      </c>
      <c r="AH2" s="1278"/>
      <c r="AI2" s="1278"/>
      <c r="AJ2" s="1278"/>
      <c r="AK2" s="1278"/>
      <c r="AL2" s="1278"/>
      <c r="AM2" s="1278"/>
      <c r="AN2" s="1278"/>
      <c r="AO2" s="1278"/>
      <c r="AP2" s="1278"/>
      <c r="AQ2" s="1278"/>
      <c r="AR2" s="1279"/>
      <c r="AS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6"/>
      <c r="AV2" s="66" t="str">
        <f t="shared" ref="AV2:AV13" si="0">IF(T2="","",T2)</f>
        <v>Наименование тарифа</v>
      </c>
      <c r="AW2" s="66"/>
      <c r="AX2" s="66"/>
      <c r="AY2" s="10">
        <v>0</v>
      </c>
    </row>
    <row r="3" spans="1:51" ht="23.25" hidden="1" customHeight="1">
      <c r="A3" s="766"/>
      <c r="B3" s="766"/>
      <c r="C3" s="766"/>
      <c r="D3" s="766"/>
      <c r="E3" s="1284"/>
      <c r="F3" s="1283">
        <v>1</v>
      </c>
      <c r="G3" s="766"/>
      <c r="H3" s="766"/>
      <c r="I3" s="766"/>
      <c r="J3" s="766"/>
      <c r="K3" s="766"/>
      <c r="L3" s="767"/>
      <c r="M3" s="423"/>
      <c r="N3" s="423"/>
      <c r="O3" s="423"/>
      <c r="P3" s="56"/>
      <c r="Q3" s="201"/>
      <c r="R3" s="202"/>
      <c r="S3" s="706" t="e">
        <f>INDEX(PT_DIFFERENTIATION_NUM_TER,MATCH(B3,PT_DIFFERENTIATION_TER_ID,0))</f>
        <v>#N/A</v>
      </c>
      <c r="T3" s="174" t="s">
        <v>397</v>
      </c>
      <c r="U3" s="168"/>
      <c r="V3" s="1277"/>
      <c r="W3" s="1278"/>
      <c r="X3" s="1278"/>
      <c r="Y3" s="1278"/>
      <c r="Z3" s="1278"/>
      <c r="AA3" s="1278"/>
      <c r="AB3" s="1278"/>
      <c r="AC3" s="1278"/>
      <c r="AD3" s="1278"/>
      <c r="AE3" s="1278"/>
      <c r="AF3" s="1279"/>
      <c r="AG3" s="1277" t="e">
        <f>INDEX(PT_DIFFERENTIATION_TER,MATCH(B3,PT_DIFFERENTIATION_TER_ID,0))</f>
        <v>#N/A</v>
      </c>
      <c r="AH3" s="1278"/>
      <c r="AI3" s="1278"/>
      <c r="AJ3" s="1278"/>
      <c r="AK3" s="1278"/>
      <c r="AL3" s="1278"/>
      <c r="AM3" s="1278"/>
      <c r="AN3" s="1278"/>
      <c r="AO3" s="1278"/>
      <c r="AP3" s="1278"/>
      <c r="AQ3" s="1278"/>
      <c r="AR3" s="1279"/>
      <c r="AS3" s="726" t="s">
        <v>398</v>
      </c>
      <c r="AU3" s="66"/>
      <c r="AV3" s="66" t="str">
        <f t="shared" si="0"/>
        <v>Территория действия тарифа</v>
      </c>
      <c r="AW3" s="66"/>
      <c r="AX3" s="66"/>
      <c r="AY3" s="10">
        <v>0</v>
      </c>
    </row>
    <row r="4" spans="1:51" ht="23.25" hidden="1" customHeight="1">
      <c r="A4" s="766"/>
      <c r="B4" s="766"/>
      <c r="C4" s="766"/>
      <c r="D4" s="766"/>
      <c r="E4" s="1284"/>
      <c r="F4" s="1284"/>
      <c r="G4" s="1283">
        <v>1</v>
      </c>
      <c r="H4" s="766"/>
      <c r="I4" s="766"/>
      <c r="J4" s="766"/>
      <c r="K4" s="766"/>
      <c r="L4" s="767"/>
      <c r="M4" s="423"/>
      <c r="N4" s="423"/>
      <c r="O4" s="423"/>
      <c r="P4" s="203"/>
      <c r="Q4" s="201"/>
      <c r="R4" s="202"/>
      <c r="S4" s="706" t="e">
        <f>INDEX(PT_DIFFERENTIATION_NUM_CS,MATCH(C4,PT_DIFFERENTIATION_CS_ID,0))</f>
        <v>#N/A</v>
      </c>
      <c r="T4" s="175" t="s">
        <v>529</v>
      </c>
      <c r="U4" s="168"/>
      <c r="V4" s="1277"/>
      <c r="W4" s="1278"/>
      <c r="X4" s="1278"/>
      <c r="Y4" s="1278"/>
      <c r="Z4" s="1278"/>
      <c r="AA4" s="1278"/>
      <c r="AB4" s="1278"/>
      <c r="AC4" s="1278"/>
      <c r="AD4" s="1278"/>
      <c r="AE4" s="1278"/>
      <c r="AF4" s="1279"/>
      <c r="AG4" s="1277" t="e">
        <f>INDEX(PT_DIFFERENTIATION_CS,MATCH(C4,PT_DIFFERENTIATION_CS_ID,0))</f>
        <v>#N/A</v>
      </c>
      <c r="AH4" s="1278"/>
      <c r="AI4" s="1278"/>
      <c r="AJ4" s="1278"/>
      <c r="AK4" s="1278"/>
      <c r="AL4" s="1278"/>
      <c r="AM4" s="1278"/>
      <c r="AN4" s="1278"/>
      <c r="AO4" s="1278"/>
      <c r="AP4" s="1278"/>
      <c r="AQ4" s="1278"/>
      <c r="AR4" s="1279"/>
      <c r="AS4" s="726" t="s">
        <v>530</v>
      </c>
      <c r="AU4" s="66"/>
      <c r="AV4" s="66" t="str">
        <f t="shared" si="0"/>
        <v>Наименование централизованной системы горячего водоснабжения</v>
      </c>
      <c r="AW4" s="66"/>
      <c r="AX4" s="66"/>
      <c r="AY4" s="10">
        <v>0</v>
      </c>
    </row>
    <row r="5" spans="1:51" ht="23.25" hidden="1" customHeight="1">
      <c r="A5" s="766"/>
      <c r="B5" s="766"/>
      <c r="C5" s="766"/>
      <c r="D5" s="766"/>
      <c r="E5" s="1284"/>
      <c r="F5" s="1284"/>
      <c r="G5" s="1284"/>
      <c r="H5" s="1284"/>
      <c r="I5" s="1285" t="e">
        <f>S4&amp;".1"</f>
        <v>#N/A</v>
      </c>
      <c r="J5" s="766"/>
      <c r="K5" s="766"/>
      <c r="L5" s="767"/>
      <c r="P5" s="1287">
        <v>1</v>
      </c>
      <c r="Q5" s="119"/>
      <c r="R5" s="205"/>
      <c r="S5" s="706" t="e">
        <f>$I5</f>
        <v>#N/A</v>
      </c>
      <c r="T5" s="161" t="s">
        <v>480</v>
      </c>
      <c r="U5" s="168"/>
      <c r="V5" s="1351"/>
      <c r="W5" s="1352"/>
      <c r="X5" s="1352"/>
      <c r="Y5" s="1352"/>
      <c r="Z5" s="1352"/>
      <c r="AA5" s="1352"/>
      <c r="AB5" s="1352"/>
      <c r="AC5" s="1352"/>
      <c r="AD5" s="1352"/>
      <c r="AE5" s="1352"/>
      <c r="AF5" s="1353"/>
      <c r="AG5" s="1354"/>
      <c r="AH5" s="1355"/>
      <c r="AI5" s="1355"/>
      <c r="AJ5" s="1355"/>
      <c r="AK5" s="1355"/>
      <c r="AL5" s="1355"/>
      <c r="AM5" s="1355"/>
      <c r="AN5" s="1355"/>
      <c r="AO5" s="1355"/>
      <c r="AP5" s="1355"/>
      <c r="AQ5" s="1355"/>
      <c r="AR5" s="1356"/>
      <c r="AS5" s="726" t="s">
        <v>481</v>
      </c>
      <c r="AU5" s="66"/>
      <c r="AV5" s="66" t="str">
        <f t="shared" si="0"/>
        <v>Наименование признака дифференциации</v>
      </c>
      <c r="AW5" s="66"/>
      <c r="AX5" s="66"/>
      <c r="AY5" s="10">
        <v>0</v>
      </c>
    </row>
    <row r="6" spans="1:51" ht="23.25" hidden="1" customHeight="1">
      <c r="A6" s="766"/>
      <c r="B6" s="766"/>
      <c r="C6" s="766"/>
      <c r="D6" s="766"/>
      <c r="E6" s="1284"/>
      <c r="F6" s="1284"/>
      <c r="G6" s="1284"/>
      <c r="H6" s="1284"/>
      <c r="I6" s="1286"/>
      <c r="J6" s="1285" t="e">
        <f>I5&amp;".1"</f>
        <v>#N/A</v>
      </c>
      <c r="K6" s="766"/>
      <c r="L6" s="767" t="s">
        <v>406</v>
      </c>
      <c r="P6" s="1287"/>
      <c r="Q6" s="1287">
        <v>1</v>
      </c>
      <c r="R6" s="206"/>
      <c r="S6" s="706" t="e">
        <f>$J6</f>
        <v>#N/A</v>
      </c>
      <c r="T6" s="162" t="s">
        <v>407</v>
      </c>
      <c r="U6" s="168"/>
      <c r="V6" s="1271"/>
      <c r="W6" s="1272"/>
      <c r="X6" s="1272"/>
      <c r="Y6" s="1272"/>
      <c r="Z6" s="1272"/>
      <c r="AA6" s="1272"/>
      <c r="AB6" s="1272"/>
      <c r="AC6" s="1272"/>
      <c r="AD6" s="1272"/>
      <c r="AE6" s="1272"/>
      <c r="AF6" s="1273"/>
      <c r="AG6" s="1271"/>
      <c r="AH6" s="1272"/>
      <c r="AI6" s="1272"/>
      <c r="AJ6" s="1272"/>
      <c r="AK6" s="1272"/>
      <c r="AL6" s="1272"/>
      <c r="AM6" s="1272"/>
      <c r="AN6" s="1272"/>
      <c r="AO6" s="1272"/>
      <c r="AP6" s="1272"/>
      <c r="AQ6" s="1272"/>
      <c r="AR6" s="1273"/>
      <c r="AS6" s="750" t="s">
        <v>482</v>
      </c>
      <c r="AU6" s="66"/>
      <c r="AV6" s="66" t="str">
        <f t="shared" si="0"/>
        <v>Группа потребителей</v>
      </c>
      <c r="AW6" s="66"/>
      <c r="AX6" s="66"/>
      <c r="AY6" s="10">
        <v>0</v>
      </c>
    </row>
    <row r="7" spans="1:51" ht="23.25" hidden="1" customHeight="1">
      <c r="A7" s="766"/>
      <c r="B7" s="766"/>
      <c r="C7" s="766"/>
      <c r="D7" s="766"/>
      <c r="E7" s="1284"/>
      <c r="F7" s="1284"/>
      <c r="G7" s="1284"/>
      <c r="H7" s="1284"/>
      <c r="I7" s="1286"/>
      <c r="J7" s="1286"/>
      <c r="K7" s="1285" t="e">
        <f>J6&amp;".1"</f>
        <v>#N/A</v>
      </c>
      <c r="L7" s="767"/>
      <c r="P7" s="1287"/>
      <c r="Q7" s="1287"/>
      <c r="R7" s="206">
        <v>1</v>
      </c>
      <c r="S7" s="706" t="e">
        <f>$K7</f>
        <v>#N/A</v>
      </c>
      <c r="T7" s="810"/>
      <c r="U7" s="168"/>
      <c r="V7" s="303"/>
      <c r="W7" s="303"/>
      <c r="X7" s="303"/>
      <c r="Y7" s="303"/>
      <c r="Z7" s="303"/>
      <c r="AA7" s="303"/>
      <c r="AB7" s="303"/>
      <c r="AC7" s="1288"/>
      <c r="AD7" s="1156" t="s">
        <v>64</v>
      </c>
      <c r="AE7" s="1288"/>
      <c r="AF7" s="1156" t="s">
        <v>64</v>
      </c>
      <c r="AG7" s="303"/>
      <c r="AH7" s="303"/>
      <c r="AI7" s="303"/>
      <c r="AJ7" s="303"/>
      <c r="AK7" s="303"/>
      <c r="AL7" s="303"/>
      <c r="AM7" s="303"/>
      <c r="AN7" s="1288"/>
      <c r="AO7" s="1156" t="s">
        <v>64</v>
      </c>
      <c r="AP7" s="1290"/>
      <c r="AQ7" s="1156" t="s">
        <v>64</v>
      </c>
      <c r="AR7" s="811"/>
      <c r="AS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5" t="e">
        <f ca="1">STRCHECKDATE(V8:AR8)</f>
        <v>#NAME?</v>
      </c>
      <c r="AU7" s="66"/>
      <c r="AV7" s="66" t="str">
        <f t="shared" si="0"/>
        <v/>
      </c>
      <c r="AW7" s="66"/>
      <c r="AX7" s="66"/>
      <c r="AY7" s="10">
        <v>0</v>
      </c>
    </row>
    <row r="8" spans="1:51" ht="14.25" hidden="1" customHeight="1">
      <c r="A8" s="766"/>
      <c r="B8" s="766"/>
      <c r="C8" s="766"/>
      <c r="D8" s="766"/>
      <c r="E8" s="1284"/>
      <c r="F8" s="1284"/>
      <c r="G8" s="1284"/>
      <c r="H8" s="1284"/>
      <c r="I8" s="1286"/>
      <c r="J8" s="1286"/>
      <c r="K8" s="1285"/>
      <c r="L8" s="767"/>
      <c r="P8" s="1287"/>
      <c r="Q8" s="1287"/>
      <c r="R8" s="206"/>
      <c r="S8" s="62"/>
      <c r="T8" s="168"/>
      <c r="U8" s="168"/>
      <c r="V8" s="188"/>
      <c r="W8" s="188"/>
      <c r="X8" s="188"/>
      <c r="Y8" s="188"/>
      <c r="Z8" s="188"/>
      <c r="AA8" s="188"/>
      <c r="AB8" s="188"/>
      <c r="AC8" s="1289"/>
      <c r="AD8" s="1156"/>
      <c r="AE8" s="1289"/>
      <c r="AF8" s="1156"/>
      <c r="AG8" s="188"/>
      <c r="AH8" s="188"/>
      <c r="AI8" s="188"/>
      <c r="AJ8" s="188"/>
      <c r="AK8" s="188"/>
      <c r="AL8" s="188"/>
      <c r="AM8" s="188"/>
      <c r="AN8" s="1289"/>
      <c r="AO8" s="1156"/>
      <c r="AP8" s="1291"/>
      <c r="AQ8" s="1156"/>
      <c r="AR8" s="385"/>
      <c r="AS8" s="1357"/>
      <c r="AU8" s="66"/>
      <c r="AV8" s="66" t="str">
        <f t="shared" si="0"/>
        <v/>
      </c>
      <c r="AW8" s="66"/>
      <c r="AX8" s="66"/>
      <c r="AY8" s="10">
        <v>0</v>
      </c>
    </row>
    <row r="9" spans="1:51" ht="21" hidden="1" customHeight="1">
      <c r="A9" s="766"/>
      <c r="B9" s="766"/>
      <c r="C9" s="766"/>
      <c r="D9" s="766"/>
      <c r="E9" s="1284"/>
      <c r="F9" s="1284"/>
      <c r="G9" s="1284"/>
      <c r="H9" s="1284"/>
      <c r="I9" s="1286"/>
      <c r="J9" s="1285"/>
      <c r="K9" s="766"/>
      <c r="L9" s="767"/>
      <c r="P9" s="1287"/>
      <c r="Q9" s="1287"/>
      <c r="R9" s="205"/>
      <c r="S9" s="739"/>
      <c r="T9" s="163" t="s">
        <v>483</v>
      </c>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726" t="s">
        <v>484</v>
      </c>
      <c r="AU9" s="66"/>
      <c r="AV9" s="66" t="str">
        <f t="shared" si="0"/>
        <v>Добавить значение признака дифференциации</v>
      </c>
      <c r="AW9" s="66"/>
      <c r="AX9" s="66"/>
      <c r="AY9" s="10">
        <v>0</v>
      </c>
    </row>
    <row r="10" spans="1:51" ht="21" hidden="1" customHeight="1">
      <c r="A10" s="766"/>
      <c r="B10" s="766"/>
      <c r="C10" s="766"/>
      <c r="D10" s="766"/>
      <c r="E10" s="1284"/>
      <c r="F10" s="1284"/>
      <c r="G10" s="1284"/>
      <c r="H10" s="1284"/>
      <c r="I10" s="1285"/>
      <c r="J10" s="766"/>
      <c r="K10" s="766"/>
      <c r="L10" s="767"/>
      <c r="P10" s="1287"/>
      <c r="Q10" s="119"/>
      <c r="R10" s="205"/>
      <c r="S10" s="739"/>
      <c r="T10" s="208" t="s">
        <v>412</v>
      </c>
      <c r="U10" s="210"/>
      <c r="V10" s="210"/>
      <c r="W10" s="210"/>
      <c r="X10" s="210"/>
      <c r="Y10" s="210"/>
      <c r="Z10" s="210"/>
      <c r="AA10" s="210"/>
      <c r="AB10" s="210"/>
      <c r="AC10" s="210"/>
      <c r="AD10" s="210"/>
      <c r="AE10" s="210"/>
      <c r="AF10" s="209"/>
      <c r="AG10" s="210"/>
      <c r="AH10" s="210"/>
      <c r="AI10" s="210"/>
      <c r="AJ10" s="210"/>
      <c r="AK10" s="210"/>
      <c r="AL10" s="210"/>
      <c r="AM10" s="210"/>
      <c r="AN10" s="210"/>
      <c r="AO10" s="210"/>
      <c r="AP10" s="210"/>
      <c r="AQ10" s="209"/>
      <c r="AR10" s="210"/>
      <c r="AS10" s="812"/>
      <c r="AU10" s="66"/>
      <c r="AV10" s="66" t="str">
        <f t="shared" si="0"/>
        <v>Добавить группу потребителей</v>
      </c>
      <c r="AW10" s="66"/>
      <c r="AX10" s="66"/>
      <c r="AY10" s="10">
        <v>0</v>
      </c>
    </row>
    <row r="11" spans="1:51" ht="21" hidden="1" customHeight="1">
      <c r="A11" s="766"/>
      <c r="B11" s="766"/>
      <c r="C11" s="766"/>
      <c r="D11" s="766"/>
      <c r="E11" s="1284"/>
      <c r="F11" s="1284"/>
      <c r="G11" s="1284"/>
      <c r="H11" s="1283"/>
      <c r="I11" s="766"/>
      <c r="J11" s="766"/>
      <c r="K11" s="766"/>
      <c r="L11" s="767"/>
      <c r="M11" s="423"/>
      <c r="N11" s="423"/>
      <c r="O11" s="60"/>
      <c r="P11" s="33"/>
      <c r="Q11" s="213"/>
      <c r="R11" s="204"/>
      <c r="S11" s="739"/>
      <c r="T11" s="104" t="s">
        <v>485</v>
      </c>
      <c r="U11" s="210"/>
      <c r="V11" s="210"/>
      <c r="W11" s="210"/>
      <c r="X11" s="210"/>
      <c r="Y11" s="210"/>
      <c r="Z11" s="210"/>
      <c r="AA11" s="210"/>
      <c r="AB11" s="210"/>
      <c r="AC11" s="210"/>
      <c r="AD11" s="210"/>
      <c r="AE11" s="210"/>
      <c r="AF11" s="209"/>
      <c r="AG11" s="210"/>
      <c r="AH11" s="210"/>
      <c r="AI11" s="210"/>
      <c r="AJ11" s="210"/>
      <c r="AK11" s="210"/>
      <c r="AL11" s="210"/>
      <c r="AM11" s="210"/>
      <c r="AN11" s="210"/>
      <c r="AO11" s="210"/>
      <c r="AP11" s="210"/>
      <c r="AQ11" s="209"/>
      <c r="AR11" s="210"/>
      <c r="AS11" s="171"/>
      <c r="AU11" s="66"/>
      <c r="AV11" s="66" t="str">
        <f t="shared" si="0"/>
        <v>Добавить наименование признака дифференциации</v>
      </c>
      <c r="AW11" s="66"/>
      <c r="AX11" s="66"/>
      <c r="AY11" s="10">
        <v>0</v>
      </c>
    </row>
    <row r="12" spans="1:51" s="65" customFormat="1" ht="14.25" hidden="1" customHeight="1">
      <c r="A12" s="142"/>
      <c r="B12" s="142"/>
      <c r="C12" s="142"/>
      <c r="D12" s="142"/>
      <c r="E12" s="1284"/>
      <c r="F12" s="1283"/>
      <c r="G12" s="142"/>
      <c r="H12" s="142"/>
      <c r="I12" s="142"/>
      <c r="J12" s="142"/>
      <c r="K12" s="142"/>
      <c r="L12" s="343"/>
      <c r="M12" s="756"/>
      <c r="N12" s="756"/>
      <c r="P12" s="101"/>
      <c r="Q12" s="752"/>
      <c r="R12" s="101"/>
      <c r="S12" s="757"/>
      <c r="T12" s="759" t="s">
        <v>231</v>
      </c>
      <c r="U12" s="310"/>
      <c r="V12" s="310"/>
      <c r="W12" s="310"/>
      <c r="X12" s="310"/>
      <c r="Y12" s="310"/>
      <c r="Z12" s="310"/>
      <c r="AA12" s="310"/>
      <c r="AB12" s="310"/>
      <c r="AC12" s="310"/>
      <c r="AD12" s="310"/>
      <c r="AE12" s="310"/>
      <c r="AF12" s="310"/>
      <c r="AG12" s="310"/>
      <c r="AH12" s="310"/>
      <c r="AI12" s="310"/>
      <c r="AJ12" s="310"/>
      <c r="AK12" s="310"/>
      <c r="AL12" s="310"/>
      <c r="AM12" s="310"/>
      <c r="AN12" s="310"/>
      <c r="AO12" s="310"/>
      <c r="AP12" s="310"/>
      <c r="AQ12" s="310"/>
      <c r="AR12" s="310"/>
      <c r="AS12" s="310"/>
      <c r="AU12" s="66"/>
      <c r="AV12" s="66" t="str">
        <f t="shared" si="0"/>
        <v>Добавить централизованную систему для дифференциации</v>
      </c>
      <c r="AW12" s="66"/>
      <c r="AX12" s="66"/>
      <c r="AY12" s="65">
        <v>0</v>
      </c>
    </row>
    <row r="13" spans="1:51" s="65" customFormat="1" ht="14.25" hidden="1" customHeight="1">
      <c r="A13" s="142"/>
      <c r="B13" s="142"/>
      <c r="C13" s="142"/>
      <c r="D13" s="142"/>
      <c r="E13" s="1283"/>
      <c r="F13" s="142"/>
      <c r="G13" s="142"/>
      <c r="H13" s="142"/>
      <c r="I13" s="142"/>
      <c r="J13" s="142"/>
      <c r="K13" s="142"/>
      <c r="L13" s="343"/>
      <c r="M13" s="756"/>
      <c r="N13" s="756"/>
      <c r="P13" s="101"/>
      <c r="Q13" s="752"/>
      <c r="R13" s="101"/>
      <c r="S13" s="757"/>
      <c r="T13" s="759" t="s">
        <v>232</v>
      </c>
      <c r="U13" s="310"/>
      <c r="V13" s="310"/>
      <c r="W13" s="310"/>
      <c r="X13" s="310"/>
      <c r="Y13" s="310"/>
      <c r="Z13" s="310"/>
      <c r="AA13" s="310"/>
      <c r="AB13" s="310"/>
      <c r="AC13" s="310"/>
      <c r="AD13" s="310"/>
      <c r="AE13" s="310"/>
      <c r="AF13" s="310"/>
      <c r="AG13" s="310"/>
      <c r="AH13" s="310"/>
      <c r="AI13" s="310"/>
      <c r="AJ13" s="310"/>
      <c r="AK13" s="310"/>
      <c r="AL13" s="310"/>
      <c r="AM13" s="310"/>
      <c r="AN13" s="310"/>
      <c r="AO13" s="310"/>
      <c r="AP13" s="310"/>
      <c r="AQ13" s="310"/>
      <c r="AR13" s="310"/>
      <c r="AS13" s="310"/>
      <c r="AU13" s="66"/>
      <c r="AV13" s="66" t="str">
        <f t="shared" si="0"/>
        <v>Добавить территорию для дифференциации</v>
      </c>
      <c r="AW13" s="66"/>
      <c r="AX13" s="66"/>
      <c r="AY13" s="65">
        <v>0</v>
      </c>
    </row>
    <row r="14" spans="1:51" ht="14.25" hidden="1" customHeight="1">
      <c r="AY14" s="10">
        <v>0</v>
      </c>
    </row>
    <row r="15" spans="1:51" ht="14.25" hidden="1" customHeight="1">
      <c r="AG15" s="365"/>
      <c r="AH15" s="365"/>
      <c r="AI15" s="365"/>
      <c r="AJ15" s="365"/>
      <c r="AK15" s="365"/>
      <c r="AL15" s="365"/>
      <c r="AM15" s="365"/>
      <c r="AN15" s="1281"/>
      <c r="AO15" s="1280" t="s">
        <v>64</v>
      </c>
      <c r="AP15" s="1281"/>
      <c r="AQ15" s="1280" t="s">
        <v>64</v>
      </c>
      <c r="AY15" s="10">
        <v>0</v>
      </c>
    </row>
    <row r="16" spans="1:51" ht="14.25" hidden="1" customHeight="1">
      <c r="AG16" s="365"/>
      <c r="AH16" s="365"/>
      <c r="AI16" s="365"/>
      <c r="AJ16" s="365"/>
      <c r="AK16" s="365"/>
      <c r="AL16" s="365"/>
      <c r="AM16" s="365"/>
      <c r="AN16" s="1280"/>
      <c r="AO16" s="1280"/>
      <c r="AP16" s="1280"/>
      <c r="AQ16" s="1280"/>
      <c r="AY16" s="10">
        <v>0</v>
      </c>
    </row>
    <row r="17" spans="1:51" ht="14.25" hidden="1" customHeight="1">
      <c r="AY17" s="10">
        <v>0</v>
      </c>
    </row>
    <row r="18" spans="1:51" s="60" customFormat="1" ht="22.5" hidden="1" customHeight="1">
      <c r="L18" s="298"/>
      <c r="M18" s="503"/>
      <c r="N18" s="503"/>
      <c r="O18" s="768" t="s">
        <v>415</v>
      </c>
      <c r="P18" s="503"/>
      <c r="Q18" s="769"/>
      <c r="R18" s="769"/>
      <c r="S18" s="423"/>
      <c r="AC18" s="768"/>
      <c r="AE18" s="768"/>
      <c r="AN18" s="768"/>
      <c r="AP18" s="768"/>
      <c r="AT18" s="65"/>
      <c r="AU18" s="65"/>
      <c r="AV18" s="65"/>
      <c r="AW18" s="65"/>
      <c r="AX18" s="65"/>
      <c r="AY18" s="60">
        <v>0</v>
      </c>
    </row>
    <row r="19" spans="1:51" s="60" customFormat="1" ht="14.25" hidden="1" customHeight="1">
      <c r="L19" s="298"/>
      <c r="M19" s="503"/>
      <c r="N19" s="503"/>
      <c r="O19" s="503"/>
      <c r="P19" s="503"/>
      <c r="Q19" s="769"/>
      <c r="R19" s="769"/>
      <c r="S19" s="423"/>
      <c r="AT19" s="65"/>
      <c r="AU19" s="65"/>
      <c r="AV19" s="65"/>
      <c r="AW19" s="65"/>
      <c r="AX19" s="65"/>
      <c r="AY19" s="60">
        <v>0</v>
      </c>
    </row>
    <row r="20" spans="1:51" s="60" customFormat="1" ht="12" hidden="1" customHeight="1">
      <c r="L20" s="298"/>
      <c r="M20" s="503"/>
      <c r="N20" s="503"/>
      <c r="O20" s="767" t="s">
        <v>416</v>
      </c>
      <c r="P20" s="503"/>
      <c r="Q20" s="813"/>
      <c r="R20" s="813"/>
      <c r="S20" s="423"/>
      <c r="T20" s="60" t="s">
        <v>417</v>
      </c>
      <c r="AD20" s="79" t="s">
        <v>418</v>
      </c>
      <c r="AF20" s="79" t="s">
        <v>419</v>
      </c>
      <c r="AG20" s="60" t="s">
        <v>417</v>
      </c>
      <c r="AO20" s="79" t="s">
        <v>420</v>
      </c>
      <c r="AQ20" s="79" t="s">
        <v>419</v>
      </c>
      <c r="AY20" s="60">
        <v>0</v>
      </c>
    </row>
    <row r="21" spans="1:51" ht="14.25" hidden="1" customHeight="1">
      <c r="O21" s="767"/>
      <c r="AY21" s="10">
        <v>0</v>
      </c>
    </row>
    <row r="22" spans="1:51" ht="14.25" hidden="1" customHeight="1">
      <c r="O22" s="767"/>
      <c r="AY22" s="10">
        <v>0</v>
      </c>
    </row>
    <row r="23" spans="1:51" ht="14.65" customHeight="1">
      <c r="Q23" s="27"/>
      <c r="R23" s="27"/>
      <c r="S23" s="736"/>
      <c r="T23" s="9"/>
      <c r="U23" s="9"/>
      <c r="AY23" s="10">
        <v>14</v>
      </c>
    </row>
    <row r="24" spans="1:51" ht="26.25" customHeight="1">
      <c r="Q24" s="27"/>
      <c r="R24" s="27"/>
      <c r="S24" s="12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4"/>
      <c r="U24" s="1264"/>
      <c r="V24" s="1264"/>
      <c r="W24" s="1264"/>
      <c r="X24" s="1264"/>
      <c r="Y24" s="1264"/>
      <c r="Z24" s="1264"/>
      <c r="AA24" s="1264"/>
      <c r="AB24" s="1264"/>
      <c r="AC24" s="1264"/>
      <c r="AD24" s="1264"/>
      <c r="AE24" s="1264"/>
      <c r="AF24" s="1264"/>
      <c r="AG24" s="1264"/>
      <c r="AH24" s="1264"/>
      <c r="AI24" s="1264"/>
      <c r="AJ24" s="1264"/>
      <c r="AK24" s="1264"/>
      <c r="AL24" s="1264"/>
      <c r="AM24" s="1264"/>
      <c r="AN24" s="1264"/>
      <c r="AO24" s="1264"/>
      <c r="AP24" s="1264"/>
      <c r="AQ24" s="57"/>
      <c r="AY24" s="10">
        <v>25</v>
      </c>
    </row>
    <row r="25" spans="1:51" ht="14.65" customHeight="1">
      <c r="Q25" s="27"/>
      <c r="R25" s="27"/>
      <c r="S25" s="1236" t="str">
        <f>IF(org=0,"Не определено",org)</f>
        <v>Общество с ограниченной ответственностью "Березовский рудник"</v>
      </c>
      <c r="T25" s="1236"/>
      <c r="U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6"/>
      <c r="AP25" s="1236"/>
      <c r="AQ25" s="57"/>
      <c r="AY25" s="10">
        <v>14</v>
      </c>
    </row>
    <row r="26" spans="1:51" ht="14.25" hidden="1" customHeight="1">
      <c r="Q26" s="27"/>
      <c r="R26" s="27"/>
      <c r="S26" s="736"/>
      <c r="T26" s="9"/>
      <c r="U26" s="9"/>
      <c r="V26" s="186"/>
      <c r="W26" s="186"/>
      <c r="X26" s="186"/>
      <c r="Y26" s="186"/>
      <c r="Z26" s="186"/>
      <c r="AA26" s="186"/>
      <c r="AB26" s="186"/>
      <c r="AC26" s="186"/>
      <c r="AD26" s="186"/>
      <c r="AE26" s="186"/>
      <c r="AF26" s="186"/>
      <c r="AG26" s="186"/>
      <c r="AH26" s="186"/>
      <c r="AI26" s="186"/>
      <c r="AJ26" s="186"/>
      <c r="AK26" s="186"/>
      <c r="AL26" s="186"/>
      <c r="AM26" s="186"/>
      <c r="AN26" s="186"/>
      <c r="AO26" s="186"/>
      <c r="AP26" s="186"/>
      <c r="AQ26" s="186"/>
      <c r="AY26" s="10">
        <v>0</v>
      </c>
    </row>
    <row r="27" spans="1:51" s="34" customFormat="1" ht="25.5" hidden="1" customHeight="1">
      <c r="A27" s="79"/>
      <c r="B27" s="79"/>
      <c r="C27" s="79"/>
      <c r="D27" s="79"/>
      <c r="E27" s="79"/>
      <c r="F27" s="79"/>
      <c r="G27" s="79"/>
      <c r="H27" s="79"/>
      <c r="I27" s="79"/>
      <c r="J27" s="79"/>
      <c r="K27" s="79"/>
      <c r="L27" s="767"/>
      <c r="M27" s="79"/>
      <c r="N27" s="79"/>
      <c r="O27" s="79"/>
      <c r="S27" s="1274" t="s">
        <v>41</v>
      </c>
      <c r="T27" s="1274"/>
      <c r="U27" s="770"/>
      <c r="V27" s="1276" t="str">
        <f>IF(TITLE_NAME_OR_PR_CHANGE="",IF(TITLE_NAME_OR_PR="","",TITLE_NAME_OR_PR),TITLE_NAME_OR_PR_CHANGE)</f>
        <v/>
      </c>
      <c r="W27" s="1276"/>
      <c r="X27" s="1276"/>
      <c r="Y27" s="1276"/>
      <c r="Z27" s="1276"/>
      <c r="AA27" s="1276"/>
      <c r="AB27" s="1276"/>
      <c r="AC27" s="1276"/>
      <c r="AD27" s="1276"/>
      <c r="AE27" s="1276"/>
      <c r="AF27" s="10"/>
      <c r="AG27" s="1276" t="str">
        <f>IF(TITLE_NAME_OR_PR_CHANGE="",IF(TITLE_NAME_OR_PR="","",TITLE_NAME_OR_PR),TITLE_NAME_OR_PR_CHANGE)</f>
        <v/>
      </c>
      <c r="AH27" s="1276"/>
      <c r="AI27" s="1276"/>
      <c r="AJ27" s="1276"/>
      <c r="AK27" s="1276"/>
      <c r="AL27" s="1276"/>
      <c r="AM27" s="1276"/>
      <c r="AN27" s="1276"/>
      <c r="AO27" s="1276"/>
      <c r="AP27" s="1276"/>
      <c r="AQ27" s="10"/>
      <c r="AR27" s="10"/>
      <c r="AS27" s="160"/>
      <c r="AT27" s="66"/>
      <c r="AU27" s="66"/>
      <c r="AV27" s="66"/>
      <c r="AW27" s="66"/>
      <c r="AX27" s="66"/>
      <c r="AY27" s="34">
        <v>0</v>
      </c>
    </row>
    <row r="28" spans="1:51" s="34" customFormat="1" ht="18.75" hidden="1" customHeight="1">
      <c r="A28" s="79"/>
      <c r="B28" s="79"/>
      <c r="C28" s="79"/>
      <c r="D28" s="79"/>
      <c r="E28" s="79"/>
      <c r="F28" s="79"/>
      <c r="G28" s="79"/>
      <c r="H28" s="79"/>
      <c r="I28" s="79"/>
      <c r="J28" s="79"/>
      <c r="K28" s="79"/>
      <c r="L28" s="767"/>
      <c r="M28" s="79"/>
      <c r="N28" s="79"/>
      <c r="O28" s="79"/>
      <c r="S28" s="1274" t="s">
        <v>421</v>
      </c>
      <c r="T28" s="1274"/>
      <c r="U28" s="770"/>
      <c r="V28" s="1275">
        <f>IF(TITLE_DATE_PR_CHANGE="",IF(TITLE_DATE_PR="","",TITLE_DATE_PR),TITLE_DATE_PR_CHANGE)</f>
        <v>45805</v>
      </c>
      <c r="W28" s="1275"/>
      <c r="X28" s="1275"/>
      <c r="Y28" s="1275"/>
      <c r="Z28" s="1275"/>
      <c r="AA28" s="1275"/>
      <c r="AB28" s="1275"/>
      <c r="AC28" s="1275"/>
      <c r="AD28" s="1275"/>
      <c r="AE28" s="1275"/>
      <c r="AF28" s="10"/>
      <c r="AG28" s="1275">
        <f>IF(TITLE_DATE_PR_CHANGE="",IF(TITLE_DATE_PR="","",TITLE_DATE_PR),TITLE_DATE_PR_CHANGE)</f>
        <v>45805</v>
      </c>
      <c r="AH28" s="1275"/>
      <c r="AI28" s="1275"/>
      <c r="AJ28" s="1275"/>
      <c r="AK28" s="1275"/>
      <c r="AL28" s="1275"/>
      <c r="AM28" s="1275"/>
      <c r="AN28" s="1275"/>
      <c r="AO28" s="1275"/>
      <c r="AP28" s="1275"/>
      <c r="AQ28" s="10"/>
      <c r="AR28" s="10"/>
      <c r="AS28" s="160"/>
      <c r="AT28" s="66"/>
      <c r="AU28" s="66"/>
      <c r="AV28" s="66"/>
      <c r="AW28" s="66"/>
      <c r="AX28" s="66"/>
      <c r="AY28" s="34">
        <v>0</v>
      </c>
    </row>
    <row r="29" spans="1:51" s="34" customFormat="1" ht="18.75" hidden="1" customHeight="1">
      <c r="A29" s="79"/>
      <c r="B29" s="79"/>
      <c r="C29" s="79"/>
      <c r="D29" s="79"/>
      <c r="E29" s="79"/>
      <c r="F29" s="79"/>
      <c r="G29" s="79"/>
      <c r="H29" s="79"/>
      <c r="I29" s="79"/>
      <c r="J29" s="79"/>
      <c r="K29" s="79"/>
      <c r="L29" s="767"/>
      <c r="M29" s="79"/>
      <c r="N29" s="79"/>
      <c r="O29" s="79"/>
      <c r="S29" s="1274" t="s">
        <v>422</v>
      </c>
      <c r="T29" s="1274"/>
      <c r="U29" s="770"/>
      <c r="V29" s="1276" t="str">
        <f>IF(TITLE_NUMBER_PR_CHANGE="",IF(TITLE_NUMBER_PR="","",TITLE_NUMBER_PR),TITLE_NUMBER_PR_CHANGE)</f>
        <v>2496</v>
      </c>
      <c r="W29" s="1276"/>
      <c r="X29" s="1276"/>
      <c r="Y29" s="1276"/>
      <c r="Z29" s="1276"/>
      <c r="AA29" s="1276"/>
      <c r="AB29" s="1276"/>
      <c r="AC29" s="1276"/>
      <c r="AD29" s="1276"/>
      <c r="AE29" s="1276"/>
      <c r="AF29" s="10"/>
      <c r="AG29" s="1276" t="str">
        <f>IF(TITLE_NUMBER_PR_CHANGE="",IF(TITLE_NUMBER_PR="","",TITLE_NUMBER_PR),TITLE_NUMBER_PR_CHANGE)</f>
        <v>2496</v>
      </c>
      <c r="AH29" s="1276"/>
      <c r="AI29" s="1276"/>
      <c r="AJ29" s="1276"/>
      <c r="AK29" s="1276"/>
      <c r="AL29" s="1276"/>
      <c r="AM29" s="1276"/>
      <c r="AN29" s="1276"/>
      <c r="AO29" s="1276"/>
      <c r="AP29" s="1276"/>
      <c r="AQ29" s="10"/>
      <c r="AR29" s="10"/>
      <c r="AS29" s="160"/>
      <c r="AT29" s="66"/>
      <c r="AU29" s="66"/>
      <c r="AV29" s="66"/>
      <c r="AW29" s="66"/>
      <c r="AX29" s="66"/>
      <c r="AY29" s="34">
        <v>0</v>
      </c>
    </row>
    <row r="30" spans="1:51" s="34" customFormat="1" ht="18.75" hidden="1" customHeight="1">
      <c r="A30" s="79"/>
      <c r="B30" s="79"/>
      <c r="C30" s="79"/>
      <c r="D30" s="79"/>
      <c r="E30" s="79"/>
      <c r="F30" s="79"/>
      <c r="G30" s="79"/>
      <c r="H30" s="79"/>
      <c r="I30" s="79"/>
      <c r="J30" s="79"/>
      <c r="K30" s="79"/>
      <c r="L30" s="767"/>
      <c r="M30" s="79"/>
      <c r="N30" s="79"/>
      <c r="O30" s="79"/>
      <c r="S30" s="1274" t="s">
        <v>42</v>
      </c>
      <c r="T30" s="1274"/>
      <c r="U30" s="770"/>
      <c r="V30" s="1276" t="str">
        <f>IF(TITLE_IST_PUB_CHANGE="",IF(TITLE_IST_PUB="","",TITLE_IST_PUB),TITLE_IST_PUB_CHANGE)</f>
        <v/>
      </c>
      <c r="W30" s="1276"/>
      <c r="X30" s="1276"/>
      <c r="Y30" s="1276"/>
      <c r="Z30" s="1276"/>
      <c r="AA30" s="1276"/>
      <c r="AB30" s="1276"/>
      <c r="AC30" s="1276"/>
      <c r="AD30" s="1276"/>
      <c r="AE30" s="1276"/>
      <c r="AF30" s="10"/>
      <c r="AG30" s="1276" t="str">
        <f>IF(TITLE_IST_PUB_CHANGE="",IF(TITLE_IST_PUB="","",TITLE_IST_PUB),TITLE_IST_PUB_CHANGE)</f>
        <v/>
      </c>
      <c r="AH30" s="1276"/>
      <c r="AI30" s="1276"/>
      <c r="AJ30" s="1276"/>
      <c r="AK30" s="1276"/>
      <c r="AL30" s="1276"/>
      <c r="AM30" s="1276"/>
      <c r="AN30" s="1276"/>
      <c r="AO30" s="1276"/>
      <c r="AP30" s="1276"/>
      <c r="AQ30" s="10"/>
      <c r="AR30" s="10"/>
      <c r="AS30" s="160"/>
      <c r="AT30" s="66"/>
      <c r="AU30" s="66"/>
      <c r="AV30" s="66"/>
      <c r="AW30" s="66"/>
      <c r="AX30" s="66"/>
      <c r="AY30" s="34">
        <v>0</v>
      </c>
    </row>
    <row r="31" spans="1:51" ht="14.25" customHeight="1">
      <c r="Q31" s="27"/>
      <c r="R31" s="27"/>
      <c r="S31" s="736"/>
      <c r="T31" s="9"/>
      <c r="U31" s="9"/>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Y31" s="10">
        <v>0</v>
      </c>
    </row>
    <row r="32" spans="1:51" s="34" customFormat="1" ht="18.75" customHeight="1">
      <c r="A32" s="79"/>
      <c r="B32" s="79"/>
      <c r="C32" s="79"/>
      <c r="D32" s="79"/>
      <c r="E32" s="79"/>
      <c r="F32" s="79"/>
      <c r="G32" s="79"/>
      <c r="H32" s="79"/>
      <c r="I32" s="79"/>
      <c r="J32" s="79"/>
      <c r="K32" s="79"/>
      <c r="L32" s="767"/>
      <c r="M32" s="79"/>
      <c r="N32" s="79"/>
      <c r="O32" s="79"/>
      <c r="S32" s="1274" t="s">
        <v>423</v>
      </c>
      <c r="T32" s="1274"/>
      <c r="U32" s="770"/>
      <c r="V32" s="1275">
        <f>IF(TITLE_DATE_PR_CHANGE="",IF(TITLE_DATE_PR="","",TITLE_DATE_PR),TITLE_DATE_PR_CHANGE)</f>
        <v>45805</v>
      </c>
      <c r="W32" s="1275"/>
      <c r="X32" s="1275"/>
      <c r="Y32" s="1275"/>
      <c r="Z32" s="1275"/>
      <c r="AA32" s="1275"/>
      <c r="AB32" s="1275"/>
      <c r="AC32" s="1275"/>
      <c r="AD32" s="1275"/>
      <c r="AE32" s="1275"/>
      <c r="AF32" s="10"/>
      <c r="AG32" s="1275">
        <f>IF(TITLE_DATE_PR_CHANGE="",IF(TITLE_DATE_PR="","",TITLE_DATE_PR),TITLE_DATE_PR_CHANGE)</f>
        <v>45805</v>
      </c>
      <c r="AH32" s="1275"/>
      <c r="AI32" s="1275"/>
      <c r="AJ32" s="1275"/>
      <c r="AK32" s="1275"/>
      <c r="AL32" s="1275"/>
      <c r="AM32" s="1275"/>
      <c r="AN32" s="1275"/>
      <c r="AO32" s="1275"/>
      <c r="AP32" s="1275"/>
      <c r="AQ32" s="10"/>
      <c r="AR32" s="10"/>
      <c r="AS32" s="160"/>
      <c r="AT32" s="66"/>
      <c r="AU32" s="66"/>
      <c r="AV32" s="66"/>
      <c r="AW32" s="66"/>
      <c r="AX32" s="66"/>
      <c r="AY32" s="34">
        <v>0</v>
      </c>
    </row>
    <row r="33" spans="1:51" s="34" customFormat="1" ht="18.75" customHeight="1">
      <c r="A33" s="79"/>
      <c r="B33" s="79"/>
      <c r="C33" s="79"/>
      <c r="D33" s="79"/>
      <c r="E33" s="79"/>
      <c r="F33" s="79"/>
      <c r="G33" s="79"/>
      <c r="H33" s="79"/>
      <c r="I33" s="79"/>
      <c r="J33" s="79"/>
      <c r="K33" s="79"/>
      <c r="L33" s="767"/>
      <c r="M33" s="79"/>
      <c r="N33" s="79"/>
      <c r="O33" s="79"/>
      <c r="S33" s="1274" t="s">
        <v>424</v>
      </c>
      <c r="T33" s="1274"/>
      <c r="U33" s="770"/>
      <c r="V33" s="1276" t="str">
        <f>IF(TITLE_NUMBER_PR_CHANGE="",IF(TITLE_NUMBER_PR="","",TITLE_NUMBER_PR),TITLE_NUMBER_PR_CHANGE)</f>
        <v>2496</v>
      </c>
      <c r="W33" s="1276"/>
      <c r="X33" s="1276"/>
      <c r="Y33" s="1276"/>
      <c r="Z33" s="1276"/>
      <c r="AA33" s="1276"/>
      <c r="AB33" s="1276"/>
      <c r="AC33" s="1276"/>
      <c r="AD33" s="1276"/>
      <c r="AE33" s="1276"/>
      <c r="AF33" s="10"/>
      <c r="AG33" s="1276" t="str">
        <f>IF(TITLE_NUMBER_PR_CHANGE="",IF(TITLE_NUMBER_PR="","",TITLE_NUMBER_PR),TITLE_NUMBER_PR_CHANGE)</f>
        <v>2496</v>
      </c>
      <c r="AH33" s="1276"/>
      <c r="AI33" s="1276"/>
      <c r="AJ33" s="1276"/>
      <c r="AK33" s="1276"/>
      <c r="AL33" s="1276"/>
      <c r="AM33" s="1276"/>
      <c r="AN33" s="1276"/>
      <c r="AO33" s="1276"/>
      <c r="AP33" s="1276"/>
      <c r="AQ33" s="10"/>
      <c r="AR33" s="10"/>
      <c r="AS33" s="160"/>
      <c r="AT33" s="66"/>
      <c r="AU33" s="66"/>
      <c r="AV33" s="66"/>
      <c r="AW33" s="66"/>
      <c r="AX33" s="66"/>
      <c r="AY33" s="34">
        <v>0</v>
      </c>
    </row>
    <row r="34" spans="1:51" s="34" customFormat="1" ht="1.1499999999999999" customHeight="1">
      <c r="A34" s="79"/>
      <c r="B34" s="79"/>
      <c r="C34" s="79"/>
      <c r="D34" s="79"/>
      <c r="E34" s="79"/>
      <c r="F34" s="79"/>
      <c r="G34" s="79"/>
      <c r="H34" s="79"/>
      <c r="I34" s="79"/>
      <c r="J34" s="79"/>
      <c r="K34" s="79"/>
      <c r="L34" s="767"/>
      <c r="M34" s="79"/>
      <c r="N34" s="79"/>
      <c r="O34" s="79"/>
      <c r="S34" s="10"/>
      <c r="T34" s="10"/>
      <c r="U34" s="75"/>
      <c r="V34" s="10"/>
      <c r="W34" s="10"/>
      <c r="X34" s="10"/>
      <c r="Y34" s="10"/>
      <c r="Z34" s="10"/>
      <c r="AA34" s="10"/>
      <c r="AB34" s="10"/>
      <c r="AC34" s="10"/>
      <c r="AD34" s="10"/>
      <c r="AE34" s="10"/>
      <c r="AF34" s="65" t="s">
        <v>425</v>
      </c>
      <c r="AG34" s="10"/>
      <c r="AH34" s="10"/>
      <c r="AI34" s="10"/>
      <c r="AJ34" s="10"/>
      <c r="AK34" s="10"/>
      <c r="AL34" s="10"/>
      <c r="AM34" s="10"/>
      <c r="AN34" s="10"/>
      <c r="AO34" s="10"/>
      <c r="AP34" s="10"/>
      <c r="AQ34" s="65" t="s">
        <v>425</v>
      </c>
      <c r="AT34" s="66"/>
      <c r="AU34" s="66"/>
      <c r="AV34" s="66"/>
      <c r="AW34" s="66"/>
      <c r="AX34" s="66"/>
      <c r="AY34" s="34">
        <v>1</v>
      </c>
    </row>
    <row r="35" spans="1:51" ht="14.65" customHeight="1">
      <c r="Q35" s="27"/>
      <c r="R35" s="27"/>
      <c r="S35" s="736"/>
      <c r="T35" s="9"/>
      <c r="U35" s="717"/>
      <c r="V35" s="1295"/>
      <c r="W35" s="1295"/>
      <c r="X35" s="1295"/>
      <c r="Y35" s="1295"/>
      <c r="Z35" s="1295"/>
      <c r="AA35" s="1295"/>
      <c r="AB35" s="1295"/>
      <c r="AC35" s="1295"/>
      <c r="AD35" s="1295"/>
      <c r="AE35" s="1295"/>
      <c r="AF35" s="1295"/>
      <c r="AG35" s="1295"/>
      <c r="AH35" s="1295"/>
      <c r="AI35" s="1295"/>
      <c r="AJ35" s="1295"/>
      <c r="AK35" s="1295"/>
      <c r="AL35" s="1295"/>
      <c r="AM35" s="1295"/>
      <c r="AN35" s="1295"/>
      <c r="AO35" s="1295"/>
      <c r="AP35" s="1295"/>
      <c r="AQ35" s="1295"/>
      <c r="AY35" s="10">
        <v>14</v>
      </c>
    </row>
    <row r="36" spans="1:51" ht="14.65" customHeight="1">
      <c r="Q36" s="27"/>
      <c r="R36" s="27"/>
      <c r="S36" s="1146" t="s">
        <v>300</v>
      </c>
      <c r="T36" s="1146"/>
      <c r="U36" s="1146"/>
      <c r="V36" s="1146"/>
      <c r="W36" s="1146"/>
      <c r="X36" s="1146"/>
      <c r="Y36" s="1146"/>
      <c r="Z36" s="1146"/>
      <c r="AA36" s="1146"/>
      <c r="AB36" s="1146"/>
      <c r="AC36" s="1146"/>
      <c r="AD36" s="1146"/>
      <c r="AE36" s="1146"/>
      <c r="AF36" s="1146"/>
      <c r="AG36" s="1146"/>
      <c r="AH36" s="1146"/>
      <c r="AI36" s="1146"/>
      <c r="AJ36" s="1146"/>
      <c r="AK36" s="1146"/>
      <c r="AL36" s="1146"/>
      <c r="AM36" s="1146"/>
      <c r="AN36" s="1146"/>
      <c r="AO36" s="1146"/>
      <c r="AP36" s="1146"/>
      <c r="AQ36" s="1146"/>
      <c r="AR36" s="1146"/>
      <c r="AS36" s="1146" t="s">
        <v>301</v>
      </c>
      <c r="AY36" s="10">
        <v>14</v>
      </c>
    </row>
    <row r="37" spans="1:51" ht="14.65" customHeight="1">
      <c r="Q37" s="27"/>
      <c r="R37" s="27"/>
      <c r="S37" s="1296" t="s">
        <v>86</v>
      </c>
      <c r="T37" s="1244" t="s">
        <v>426</v>
      </c>
      <c r="U37" s="169"/>
      <c r="V37" s="1297" t="s">
        <v>427</v>
      </c>
      <c r="W37" s="1313"/>
      <c r="X37" s="1313"/>
      <c r="Y37" s="1313"/>
      <c r="Z37" s="1313"/>
      <c r="AA37" s="1313"/>
      <c r="AB37" s="1313"/>
      <c r="AC37" s="1298"/>
      <c r="AD37" s="1298"/>
      <c r="AE37" s="1299"/>
      <c r="AF37" s="1300" t="s">
        <v>428</v>
      </c>
      <c r="AG37" s="1297" t="s">
        <v>427</v>
      </c>
      <c r="AH37" s="1298"/>
      <c r="AI37" s="1298"/>
      <c r="AJ37" s="1298"/>
      <c r="AK37" s="1298"/>
      <c r="AL37" s="1298"/>
      <c r="AM37" s="1298"/>
      <c r="AN37" s="1298"/>
      <c r="AO37" s="1298"/>
      <c r="AP37" s="1299"/>
      <c r="AQ37" s="1300" t="s">
        <v>429</v>
      </c>
      <c r="AR37" s="1303" t="s">
        <v>430</v>
      </c>
      <c r="AS37" s="1146"/>
      <c r="AY37" s="10">
        <v>14</v>
      </c>
    </row>
    <row r="38" spans="1:51" ht="19.899999999999999" customHeight="1">
      <c r="Q38" s="27"/>
      <c r="R38" s="27"/>
      <c r="S38" s="1296"/>
      <c r="T38" s="1244"/>
      <c r="U38" s="604"/>
      <c r="V38" s="1146" t="s">
        <v>531</v>
      </c>
      <c r="W38" s="1367" t="s">
        <v>532</v>
      </c>
      <c r="X38" s="1367"/>
      <c r="Y38" s="1367"/>
      <c r="Z38" s="1367" t="s">
        <v>533</v>
      </c>
      <c r="AA38" s="1367"/>
      <c r="AB38" s="1367"/>
      <c r="AC38" s="1217" t="s">
        <v>434</v>
      </c>
      <c r="AD38" s="1325"/>
      <c r="AE38" s="1218"/>
      <c r="AF38" s="1301"/>
      <c r="AG38" s="1146" t="s">
        <v>531</v>
      </c>
      <c r="AH38" s="1367" t="s">
        <v>532</v>
      </c>
      <c r="AI38" s="1367"/>
      <c r="AJ38" s="1367"/>
      <c r="AK38" s="1367" t="s">
        <v>533</v>
      </c>
      <c r="AL38" s="1367"/>
      <c r="AM38" s="1367"/>
      <c r="AN38" s="1217" t="s">
        <v>434</v>
      </c>
      <c r="AO38" s="1325"/>
      <c r="AP38" s="1218"/>
      <c r="AQ38" s="1301"/>
      <c r="AR38" s="1304"/>
      <c r="AS38" s="1146"/>
      <c r="AY38" s="10">
        <v>19</v>
      </c>
    </row>
    <row r="39" spans="1:51" s="10" customFormat="1" ht="19.899999999999999" customHeight="1">
      <c r="A39" s="60"/>
      <c r="B39" s="60"/>
      <c r="C39" s="60"/>
      <c r="D39" s="60"/>
      <c r="E39" s="60"/>
      <c r="F39" s="60"/>
      <c r="G39" s="60"/>
      <c r="H39" s="60"/>
      <c r="I39" s="60"/>
      <c r="J39" s="60"/>
      <c r="K39" s="60"/>
      <c r="L39" s="298"/>
      <c r="M39" s="503"/>
      <c r="N39" s="503"/>
      <c r="O39" s="503"/>
      <c r="P39" s="32"/>
      <c r="Q39" s="27"/>
      <c r="R39" s="27"/>
      <c r="S39" s="1296"/>
      <c r="T39" s="1244"/>
      <c r="U39" s="604"/>
      <c r="V39" s="1146"/>
      <c r="W39" s="1367" t="s">
        <v>534</v>
      </c>
      <c r="X39" s="1367" t="s">
        <v>535</v>
      </c>
      <c r="Y39" s="1367"/>
      <c r="Z39" s="1367" t="s">
        <v>536</v>
      </c>
      <c r="AA39" s="1367" t="s">
        <v>535</v>
      </c>
      <c r="AB39" s="1367"/>
      <c r="AC39" s="1222"/>
      <c r="AD39" s="1326"/>
      <c r="AE39" s="1223"/>
      <c r="AF39" s="1301"/>
      <c r="AG39" s="1146"/>
      <c r="AH39" s="1367" t="s">
        <v>534</v>
      </c>
      <c r="AI39" s="1367" t="s">
        <v>535</v>
      </c>
      <c r="AJ39" s="1367"/>
      <c r="AK39" s="1367" t="s">
        <v>536</v>
      </c>
      <c r="AL39" s="1367" t="s">
        <v>535</v>
      </c>
      <c r="AM39" s="1367"/>
      <c r="AN39" s="1222"/>
      <c r="AO39" s="1326"/>
      <c r="AP39" s="1223"/>
      <c r="AQ39" s="1301"/>
      <c r="AR39" s="1304"/>
      <c r="AS39" s="1146"/>
      <c r="AT39" s="65"/>
      <c r="AU39" s="65"/>
      <c r="AV39" s="65"/>
      <c r="AW39" s="65"/>
      <c r="AX39" s="65"/>
      <c r="AY39" s="10">
        <v>19</v>
      </c>
    </row>
    <row r="40" spans="1:51" ht="61.9" customHeight="1">
      <c r="A40" s="79"/>
      <c r="B40" s="79" t="s">
        <v>133</v>
      </c>
      <c r="C40" s="79" t="s">
        <v>134</v>
      </c>
      <c r="D40" s="79" t="s">
        <v>135</v>
      </c>
      <c r="E40" s="767" t="s">
        <v>435</v>
      </c>
      <c r="F40" s="767" t="s">
        <v>436</v>
      </c>
      <c r="G40" s="767" t="s">
        <v>437</v>
      </c>
      <c r="H40" s="767"/>
      <c r="I40" s="767" t="s">
        <v>487</v>
      </c>
      <c r="J40" s="767" t="s">
        <v>440</v>
      </c>
      <c r="K40" s="767" t="s">
        <v>488</v>
      </c>
      <c r="L40" s="767" t="s">
        <v>416</v>
      </c>
      <c r="Q40" s="27"/>
      <c r="R40" s="27"/>
      <c r="S40" s="1296"/>
      <c r="T40" s="1244"/>
      <c r="U40" s="170"/>
      <c r="V40" s="1146"/>
      <c r="W40" s="1367"/>
      <c r="X40" s="1052" t="s">
        <v>537</v>
      </c>
      <c r="Y40" s="1052" t="s">
        <v>538</v>
      </c>
      <c r="Z40" s="1367"/>
      <c r="AA40" s="1052" t="s">
        <v>539</v>
      </c>
      <c r="AB40" s="1052" t="s">
        <v>540</v>
      </c>
      <c r="AC40" s="38" t="s">
        <v>444</v>
      </c>
      <c r="AD40" s="1249" t="s">
        <v>445</v>
      </c>
      <c r="AE40" s="1263"/>
      <c r="AF40" s="1302"/>
      <c r="AG40" s="1146"/>
      <c r="AH40" s="1367"/>
      <c r="AI40" s="1052" t="s">
        <v>537</v>
      </c>
      <c r="AJ40" s="1052" t="s">
        <v>538</v>
      </c>
      <c r="AK40" s="1367"/>
      <c r="AL40" s="1052" t="s">
        <v>539</v>
      </c>
      <c r="AM40" s="1052" t="s">
        <v>540</v>
      </c>
      <c r="AN40" s="38" t="s">
        <v>444</v>
      </c>
      <c r="AO40" s="1249" t="s">
        <v>445</v>
      </c>
      <c r="AP40" s="1263"/>
      <c r="AQ40" s="1302"/>
      <c r="AR40" s="1305"/>
      <c r="AS40" s="1146"/>
      <c r="AY40" s="10">
        <v>59</v>
      </c>
    </row>
    <row r="41" spans="1:51" s="200" customFormat="1" ht="11.25" hidden="1" customHeight="1">
      <c r="A41" s="79"/>
      <c r="B41" s="79"/>
      <c r="C41" s="79"/>
      <c r="D41" s="79"/>
      <c r="E41" s="79"/>
      <c r="F41" s="79"/>
      <c r="G41" s="79"/>
      <c r="H41" s="79"/>
      <c r="I41" s="79"/>
      <c r="J41" s="79"/>
      <c r="K41" s="79"/>
      <c r="L41" s="767"/>
      <c r="M41" s="503"/>
      <c r="N41" s="503"/>
      <c r="O41" s="503"/>
      <c r="P41" s="719"/>
      <c r="Q41" s="720"/>
      <c r="R41" s="722">
        <v>1</v>
      </c>
      <c r="S41" s="738" t="s">
        <v>107</v>
      </c>
      <c r="T41" s="723" t="s">
        <v>108</v>
      </c>
      <c r="U41" s="718" t="str">
        <f ca="1">OFFSET(U41,0,-1)</f>
        <v>2</v>
      </c>
      <c r="V41" s="724">
        <f ca="1">OFFSET(V41,0,-1)+1</f>
        <v>3</v>
      </c>
      <c r="W41" s="283"/>
      <c r="X41" s="283"/>
      <c r="Y41" s="283"/>
      <c r="Z41" s="283"/>
      <c r="AA41" s="283"/>
      <c r="AB41" s="283"/>
      <c r="AC41" s="724">
        <f ca="1">OFFSET(AC41,0,-1)+1</f>
        <v>1</v>
      </c>
      <c r="AD41" s="1294">
        <f ca="1">OFFSET(AD41,0,-1)+1</f>
        <v>2</v>
      </c>
      <c r="AE41" s="1294"/>
      <c r="AF41" s="724">
        <f ca="1">OFFSET(AF41,0,-2)+1</f>
        <v>3</v>
      </c>
      <c r="AG41" s="724">
        <f ca="1">OFFSET(AG41,0,-1)+1</f>
        <v>4</v>
      </c>
      <c r="AH41" s="724"/>
      <c r="AI41" s="724"/>
      <c r="AJ41" s="724"/>
      <c r="AK41" s="724"/>
      <c r="AL41" s="724"/>
      <c r="AM41" s="724">
        <f ca="1">OFFSET(AM41,0,-1)+1</f>
        <v>1</v>
      </c>
      <c r="AN41" s="724">
        <f ca="1">OFFSET(AN41,0,-1)+1</f>
        <v>2</v>
      </c>
      <c r="AO41" s="1294">
        <f ca="1">OFFSET(AO41,0,-1)+1</f>
        <v>3</v>
      </c>
      <c r="AP41" s="1294"/>
      <c r="AQ41" s="724">
        <f ca="1">OFFSET(AQ41,0,-2)+1</f>
        <v>4</v>
      </c>
      <c r="AR41" s="718">
        <f ca="1">OFFSET(AR41,0,-1)</f>
        <v>4</v>
      </c>
      <c r="AS41" s="724">
        <f ca="1">OFFSET(AS41,0,-1)+1</f>
        <v>5</v>
      </c>
      <c r="AT41" s="65"/>
      <c r="AU41" s="65"/>
      <c r="AV41" s="65"/>
      <c r="AW41" s="65"/>
      <c r="AX41" s="65"/>
      <c r="AY41" s="200">
        <v>0</v>
      </c>
    </row>
    <row r="42" spans="1:51" ht="24" customHeight="1">
      <c r="A42" s="766" t="s">
        <v>251</v>
      </c>
      <c r="B42" s="766"/>
      <c r="C42" s="766"/>
      <c r="D42" s="766"/>
      <c r="E42" s="1283">
        <v>1</v>
      </c>
      <c r="F42" s="766"/>
      <c r="G42" s="766"/>
      <c r="H42" s="766"/>
      <c r="I42" s="766"/>
      <c r="J42" s="766"/>
      <c r="K42" s="766"/>
      <c r="L42" s="767"/>
      <c r="M42" s="423"/>
      <c r="N42" s="423"/>
      <c r="O42" s="423"/>
      <c r="Q42" s="33"/>
      <c r="R42" s="204"/>
      <c r="S42" s="706">
        <f>INDEX(PT_DIFFERENTIATION_NUM_NTAR,MATCH(A42,PT_DIFFERENTIATION_NTAR_ID,0))</f>
        <v>0</v>
      </c>
      <c r="T42" s="64" t="s">
        <v>121</v>
      </c>
      <c r="U42" s="168"/>
      <c r="V42" s="1277"/>
      <c r="W42" s="1278"/>
      <c r="X42" s="1278"/>
      <c r="Y42" s="1278"/>
      <c r="Z42" s="1278"/>
      <c r="AA42" s="1278"/>
      <c r="AB42" s="1278"/>
      <c r="AC42" s="1278"/>
      <c r="AD42" s="1278"/>
      <c r="AE42" s="1278"/>
      <c r="AF42" s="1279"/>
      <c r="AG42" s="1277" t="str">
        <f>INDEX(PT_DIFFERENTIATION_NTAR,MATCH(A42,PT_DIFFERENTIATION_NTAR_ID,0))</f>
        <v/>
      </c>
      <c r="AH42" s="1278"/>
      <c r="AI42" s="1278"/>
      <c r="AJ42" s="1278"/>
      <c r="AK42" s="1278"/>
      <c r="AL42" s="1278"/>
      <c r="AM42" s="1278"/>
      <c r="AN42" s="1278"/>
      <c r="AO42" s="1278"/>
      <c r="AP42" s="1278"/>
      <c r="AQ42" s="1278"/>
      <c r="AR42" s="1279"/>
      <c r="AS4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6"/>
      <c r="AV42" s="66" t="str">
        <f t="shared" ref="AV42:AV54" si="1">IF(T42="","",T42)</f>
        <v>Наименование тарифа</v>
      </c>
      <c r="AW42" s="66"/>
      <c r="AX42" s="66"/>
      <c r="AY42" s="10">
        <v>23</v>
      </c>
    </row>
    <row r="43" spans="1:51" ht="24" customHeight="1">
      <c r="A43" s="766" t="s">
        <v>251</v>
      </c>
      <c r="B43" s="766" t="s">
        <v>252</v>
      </c>
      <c r="C43" s="766"/>
      <c r="D43" s="766"/>
      <c r="E43" s="1284"/>
      <c r="F43" s="1283">
        <v>1</v>
      </c>
      <c r="G43" s="766"/>
      <c r="H43" s="766"/>
      <c r="I43" s="766"/>
      <c r="J43" s="766"/>
      <c r="K43" s="766"/>
      <c r="L43" s="767"/>
      <c r="M43" s="423"/>
      <c r="N43" s="423"/>
      <c r="O43" s="423"/>
      <c r="P43" s="56"/>
      <c r="Q43" s="201"/>
      <c r="R43" s="202"/>
      <c r="S43" s="706" t="str">
        <f>INDEX(PT_DIFFERENTIATION_NUM_TER,MATCH(B43,PT_DIFFERENTIATION_TER_ID,0))</f>
        <v>.</v>
      </c>
      <c r="T43" s="174" t="s">
        <v>397</v>
      </c>
      <c r="U43" s="168"/>
      <c r="V43" s="1277"/>
      <c r="W43" s="1278"/>
      <c r="X43" s="1278"/>
      <c r="Y43" s="1278"/>
      <c r="Z43" s="1278"/>
      <c r="AA43" s="1278"/>
      <c r="AB43" s="1278"/>
      <c r="AC43" s="1278"/>
      <c r="AD43" s="1278"/>
      <c r="AE43" s="1278"/>
      <c r="AF43" s="1279"/>
      <c r="AG43" s="1277" t="str">
        <f>INDEX(PT_DIFFERENTIATION_TER,MATCH(B43,PT_DIFFERENTIATION_TER_ID,0))</f>
        <v/>
      </c>
      <c r="AH43" s="1278"/>
      <c r="AI43" s="1278"/>
      <c r="AJ43" s="1278"/>
      <c r="AK43" s="1278"/>
      <c r="AL43" s="1278"/>
      <c r="AM43" s="1278"/>
      <c r="AN43" s="1278"/>
      <c r="AO43" s="1278"/>
      <c r="AP43" s="1278"/>
      <c r="AQ43" s="1278"/>
      <c r="AR43" s="1279"/>
      <c r="AS43" s="726" t="s">
        <v>398</v>
      </c>
      <c r="AU43" s="66"/>
      <c r="AV43" s="66" t="str">
        <f t="shared" si="1"/>
        <v>Территория действия тарифа</v>
      </c>
      <c r="AW43" s="66"/>
      <c r="AX43" s="66"/>
      <c r="AY43" s="10">
        <v>23</v>
      </c>
    </row>
    <row r="44" spans="1:51" ht="24" customHeight="1">
      <c r="A44" s="766" t="s">
        <v>251</v>
      </c>
      <c r="B44" s="766" t="s">
        <v>252</v>
      </c>
      <c r="C44" s="766" t="s">
        <v>253</v>
      </c>
      <c r="D44" s="766"/>
      <c r="E44" s="1284"/>
      <c r="F44" s="1284"/>
      <c r="G44" s="1283">
        <v>1</v>
      </c>
      <c r="H44" s="766"/>
      <c r="I44" s="766"/>
      <c r="J44" s="766"/>
      <c r="K44" s="766"/>
      <c r="L44" s="767"/>
      <c r="M44" s="423"/>
      <c r="N44" s="423"/>
      <c r="O44" s="423"/>
      <c r="P44" s="203"/>
      <c r="Q44" s="201"/>
      <c r="R44" s="202"/>
      <c r="S44" s="706" t="str">
        <f>INDEX(PT_DIFFERENTIATION_NUM_CS,MATCH(C44,PT_DIFFERENTIATION_CS_ID,0))</f>
        <v>..</v>
      </c>
      <c r="T44" s="175" t="s">
        <v>529</v>
      </c>
      <c r="U44" s="168"/>
      <c r="V44" s="1277"/>
      <c r="W44" s="1278"/>
      <c r="X44" s="1278"/>
      <c r="Y44" s="1278"/>
      <c r="Z44" s="1278"/>
      <c r="AA44" s="1278"/>
      <c r="AB44" s="1278"/>
      <c r="AC44" s="1278"/>
      <c r="AD44" s="1278"/>
      <c r="AE44" s="1278"/>
      <c r="AF44" s="1279"/>
      <c r="AG44" s="1277" t="str">
        <f>INDEX(PT_DIFFERENTIATION_CS,MATCH(C44,PT_DIFFERENTIATION_CS_ID,0))</f>
        <v/>
      </c>
      <c r="AH44" s="1278"/>
      <c r="AI44" s="1278"/>
      <c r="AJ44" s="1278"/>
      <c r="AK44" s="1278"/>
      <c r="AL44" s="1278"/>
      <c r="AM44" s="1278"/>
      <c r="AN44" s="1278"/>
      <c r="AO44" s="1278"/>
      <c r="AP44" s="1278"/>
      <c r="AQ44" s="1278"/>
      <c r="AR44" s="1279"/>
      <c r="AS44" s="726" t="s">
        <v>530</v>
      </c>
      <c r="AU44" s="66"/>
      <c r="AV44" s="66" t="str">
        <f t="shared" si="1"/>
        <v>Наименование централизованной системы горячего водоснабжения</v>
      </c>
      <c r="AW44" s="66"/>
      <c r="AX44" s="66"/>
      <c r="AY44" s="10">
        <v>23</v>
      </c>
    </row>
    <row r="45" spans="1:51" ht="24" customHeight="1">
      <c r="A45" s="766" t="s">
        <v>251</v>
      </c>
      <c r="B45" s="766" t="s">
        <v>252</v>
      </c>
      <c r="C45" s="766" t="s">
        <v>253</v>
      </c>
      <c r="D45" s="766" t="s">
        <v>541</v>
      </c>
      <c r="E45" s="1284"/>
      <c r="F45" s="1284"/>
      <c r="G45" s="1284"/>
      <c r="H45" s="1284"/>
      <c r="I45" s="1285" t="str">
        <f>S44&amp;".1"</f>
        <v>...1</v>
      </c>
      <c r="J45" s="766"/>
      <c r="K45" s="766"/>
      <c r="L45" s="767"/>
      <c r="P45" s="1287">
        <v>1</v>
      </c>
      <c r="Q45" s="119"/>
      <c r="R45" s="205"/>
      <c r="S45" s="706" t="str">
        <f>$I45</f>
        <v>...1</v>
      </c>
      <c r="T45" s="161" t="s">
        <v>480</v>
      </c>
      <c r="U45" s="168"/>
      <c r="V45" s="1351"/>
      <c r="W45" s="1352"/>
      <c r="X45" s="1352"/>
      <c r="Y45" s="1352"/>
      <c r="Z45" s="1352"/>
      <c r="AA45" s="1352"/>
      <c r="AB45" s="1352"/>
      <c r="AC45" s="1352"/>
      <c r="AD45" s="1352"/>
      <c r="AE45" s="1352"/>
      <c r="AF45" s="1353"/>
      <c r="AG45" s="1354"/>
      <c r="AH45" s="1355"/>
      <c r="AI45" s="1355"/>
      <c r="AJ45" s="1355"/>
      <c r="AK45" s="1355"/>
      <c r="AL45" s="1355"/>
      <c r="AM45" s="1355"/>
      <c r="AN45" s="1355"/>
      <c r="AO45" s="1355"/>
      <c r="AP45" s="1355"/>
      <c r="AQ45" s="1355"/>
      <c r="AR45" s="1356"/>
      <c r="AS45" s="726" t="s">
        <v>481</v>
      </c>
      <c r="AU45" s="66"/>
      <c r="AV45" s="66" t="str">
        <f t="shared" si="1"/>
        <v>Наименование признака дифференциации</v>
      </c>
      <c r="AW45" s="66"/>
      <c r="AX45" s="66"/>
      <c r="AY45" s="10">
        <v>23</v>
      </c>
    </row>
    <row r="46" spans="1:51" ht="24" customHeight="1">
      <c r="A46" s="766" t="s">
        <v>251</v>
      </c>
      <c r="B46" s="766" t="s">
        <v>252</v>
      </c>
      <c r="C46" s="766" t="s">
        <v>253</v>
      </c>
      <c r="D46" s="766" t="s">
        <v>541</v>
      </c>
      <c r="E46" s="1284"/>
      <c r="F46" s="1284"/>
      <c r="G46" s="1284"/>
      <c r="H46" s="1284"/>
      <c r="I46" s="1286"/>
      <c r="J46" s="1285" t="str">
        <f>I45&amp;".1"</f>
        <v>...1.1</v>
      </c>
      <c r="K46" s="766"/>
      <c r="L46" s="767" t="s">
        <v>406</v>
      </c>
      <c r="P46" s="1287"/>
      <c r="Q46" s="1287">
        <v>1</v>
      </c>
      <c r="R46" s="206"/>
      <c r="S46" s="706" t="str">
        <f>$J46</f>
        <v>...1.1</v>
      </c>
      <c r="T46" s="162" t="s">
        <v>407</v>
      </c>
      <c r="U46" s="168"/>
      <c r="V46" s="1271"/>
      <c r="W46" s="1272"/>
      <c r="X46" s="1272"/>
      <c r="Y46" s="1272"/>
      <c r="Z46" s="1272"/>
      <c r="AA46" s="1272"/>
      <c r="AB46" s="1272"/>
      <c r="AC46" s="1272"/>
      <c r="AD46" s="1272"/>
      <c r="AE46" s="1272"/>
      <c r="AF46" s="1273"/>
      <c r="AG46" s="1271"/>
      <c r="AH46" s="1272"/>
      <c r="AI46" s="1272"/>
      <c r="AJ46" s="1272"/>
      <c r="AK46" s="1272"/>
      <c r="AL46" s="1272"/>
      <c r="AM46" s="1272"/>
      <c r="AN46" s="1272"/>
      <c r="AO46" s="1272"/>
      <c r="AP46" s="1272"/>
      <c r="AQ46" s="1272"/>
      <c r="AR46" s="1273"/>
      <c r="AS46" s="750" t="s">
        <v>482</v>
      </c>
      <c r="AU46" s="66"/>
      <c r="AV46" s="66" t="str">
        <f t="shared" si="1"/>
        <v>Группа потребителей</v>
      </c>
      <c r="AW46" s="66"/>
      <c r="AX46" s="66"/>
      <c r="AY46" s="10">
        <v>23</v>
      </c>
    </row>
    <row r="47" spans="1:51" ht="24" customHeight="1">
      <c r="A47" s="766" t="s">
        <v>251</v>
      </c>
      <c r="B47" s="766" t="s">
        <v>252</v>
      </c>
      <c r="C47" s="766" t="s">
        <v>253</v>
      </c>
      <c r="D47" s="766" t="s">
        <v>541</v>
      </c>
      <c r="E47" s="1284"/>
      <c r="F47" s="1284"/>
      <c r="G47" s="1284"/>
      <c r="H47" s="1284"/>
      <c r="I47" s="1286"/>
      <c r="J47" s="1286"/>
      <c r="K47" s="1285" t="str">
        <f>J46&amp;".1"</f>
        <v>...1.1.1</v>
      </c>
      <c r="L47" s="767"/>
      <c r="P47" s="1287"/>
      <c r="Q47" s="1287"/>
      <c r="R47" s="206">
        <v>1</v>
      </c>
      <c r="S47" s="706" t="str">
        <f>$K47</f>
        <v>...1.1.1</v>
      </c>
      <c r="T47" s="810"/>
      <c r="U47" s="168"/>
      <c r="V47" s="303"/>
      <c r="W47" s="303"/>
      <c r="X47" s="303"/>
      <c r="Y47" s="303"/>
      <c r="Z47" s="303"/>
      <c r="AA47" s="303"/>
      <c r="AB47" s="303"/>
      <c r="AC47" s="1281"/>
      <c r="AD47" s="1280" t="s">
        <v>64</v>
      </c>
      <c r="AE47" s="1281"/>
      <c r="AF47" s="1280" t="s">
        <v>64</v>
      </c>
      <c r="AG47" s="303"/>
      <c r="AH47" s="303"/>
      <c r="AI47" s="303"/>
      <c r="AJ47" s="303"/>
      <c r="AK47" s="303"/>
      <c r="AL47" s="303"/>
      <c r="AM47" s="303"/>
      <c r="AN47" s="1288"/>
      <c r="AO47" s="1156" t="s">
        <v>64</v>
      </c>
      <c r="AP47" s="1290"/>
      <c r="AQ47" s="1156" t="s">
        <v>19</v>
      </c>
      <c r="AR47" s="811"/>
      <c r="AS4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5" t="e">
        <f ca="1">STRCHECKDATE(V48:AR48)</f>
        <v>#NAME?</v>
      </c>
      <c r="AU47" s="66"/>
      <c r="AV47" s="66" t="str">
        <f t="shared" si="1"/>
        <v/>
      </c>
      <c r="AW47" s="66"/>
      <c r="AX47" s="66"/>
      <c r="AY47" s="10">
        <v>23</v>
      </c>
    </row>
    <row r="48" spans="1:51" ht="0" hidden="1" customHeight="1">
      <c r="A48" s="766" t="s">
        <v>251</v>
      </c>
      <c r="B48" s="766" t="s">
        <v>252</v>
      </c>
      <c r="C48" s="766" t="s">
        <v>253</v>
      </c>
      <c r="D48" s="766" t="s">
        <v>541</v>
      </c>
      <c r="E48" s="1284"/>
      <c r="F48" s="1284"/>
      <c r="G48" s="1284"/>
      <c r="H48" s="1284"/>
      <c r="I48" s="1286"/>
      <c r="J48" s="1286"/>
      <c r="K48" s="1285"/>
      <c r="L48" s="767"/>
      <c r="P48" s="1287"/>
      <c r="Q48" s="1287"/>
      <c r="R48" s="206"/>
      <c r="S48" s="62"/>
      <c r="T48" s="168"/>
      <c r="U48" s="168"/>
      <c r="V48" s="365"/>
      <c r="W48" s="365"/>
      <c r="X48" s="365"/>
      <c r="Y48" s="365"/>
      <c r="Z48" s="365"/>
      <c r="AA48" s="365"/>
      <c r="AB48" s="365"/>
      <c r="AC48" s="1280"/>
      <c r="AD48" s="1280"/>
      <c r="AE48" s="1280"/>
      <c r="AF48" s="1280"/>
      <c r="AG48" s="188"/>
      <c r="AH48" s="188"/>
      <c r="AI48" s="188"/>
      <c r="AJ48" s="188"/>
      <c r="AK48" s="188"/>
      <c r="AL48" s="188"/>
      <c r="AM48" s="188"/>
      <c r="AN48" s="1289"/>
      <c r="AO48" s="1156"/>
      <c r="AP48" s="1291"/>
      <c r="AQ48" s="1156"/>
      <c r="AR48" s="385"/>
      <c r="AS48" s="1357"/>
      <c r="AU48" s="66"/>
      <c r="AV48" s="66" t="str">
        <f t="shared" si="1"/>
        <v/>
      </c>
      <c r="AW48" s="66"/>
      <c r="AX48" s="66"/>
      <c r="AY48" s="10">
        <v>0</v>
      </c>
    </row>
    <row r="49" spans="1:51" ht="21" customHeight="1">
      <c r="A49" s="766" t="s">
        <v>251</v>
      </c>
      <c r="B49" s="766" t="s">
        <v>252</v>
      </c>
      <c r="C49" s="766" t="s">
        <v>253</v>
      </c>
      <c r="D49" s="766" t="s">
        <v>541</v>
      </c>
      <c r="E49" s="1284"/>
      <c r="F49" s="1284"/>
      <c r="G49" s="1284"/>
      <c r="H49" s="1284"/>
      <c r="I49" s="1286"/>
      <c r="J49" s="1285"/>
      <c r="K49" s="766"/>
      <c r="L49" s="767"/>
      <c r="P49" s="1287"/>
      <c r="Q49" s="1287"/>
      <c r="R49" s="205"/>
      <c r="S49" s="739"/>
      <c r="T49" s="163" t="s">
        <v>483</v>
      </c>
      <c r="U49" s="210"/>
      <c r="V49" s="210"/>
      <c r="W49" s="210"/>
      <c r="X49" s="210"/>
      <c r="Y49" s="210"/>
      <c r="Z49" s="210"/>
      <c r="AA49" s="210"/>
      <c r="AB49" s="210"/>
      <c r="AC49" s="210"/>
      <c r="AD49" s="210"/>
      <c r="AE49" s="210"/>
      <c r="AF49" s="210"/>
      <c r="AG49" s="210"/>
      <c r="AH49" s="210"/>
      <c r="AI49" s="210"/>
      <c r="AJ49" s="210"/>
      <c r="AK49" s="210"/>
      <c r="AL49" s="210"/>
      <c r="AM49" s="210"/>
      <c r="AN49" s="210"/>
      <c r="AO49" s="210"/>
      <c r="AP49" s="210"/>
      <c r="AQ49" s="210"/>
      <c r="AR49" s="210"/>
      <c r="AS49" s="726" t="s">
        <v>484</v>
      </c>
      <c r="AU49" s="66"/>
      <c r="AV49" s="66" t="str">
        <f t="shared" si="1"/>
        <v>Добавить значение признака дифференциации</v>
      </c>
      <c r="AW49" s="66"/>
      <c r="AX49" s="66"/>
      <c r="AY49" s="10">
        <v>20</v>
      </c>
    </row>
    <row r="50" spans="1:51" ht="21.95" customHeight="1">
      <c r="A50" s="766" t="s">
        <v>251</v>
      </c>
      <c r="B50" s="766" t="s">
        <v>252</v>
      </c>
      <c r="C50" s="766" t="s">
        <v>253</v>
      </c>
      <c r="D50" s="766" t="s">
        <v>541</v>
      </c>
      <c r="E50" s="1284"/>
      <c r="F50" s="1284"/>
      <c r="G50" s="1284"/>
      <c r="H50" s="1284"/>
      <c r="I50" s="1285"/>
      <c r="J50" s="766"/>
      <c r="K50" s="766"/>
      <c r="L50" s="767"/>
      <c r="P50" s="1287"/>
      <c r="Q50" s="119"/>
      <c r="R50" s="205"/>
      <c r="S50" s="739"/>
      <c r="T50" s="208" t="s">
        <v>412</v>
      </c>
      <c r="U50" s="210"/>
      <c r="V50" s="210"/>
      <c r="W50" s="210"/>
      <c r="X50" s="210"/>
      <c r="Y50" s="210"/>
      <c r="Z50" s="210"/>
      <c r="AA50" s="210"/>
      <c r="AB50" s="210"/>
      <c r="AC50" s="210"/>
      <c r="AD50" s="210"/>
      <c r="AE50" s="210"/>
      <c r="AF50" s="209"/>
      <c r="AG50" s="210"/>
      <c r="AH50" s="210"/>
      <c r="AI50" s="210"/>
      <c r="AJ50" s="210"/>
      <c r="AK50" s="210"/>
      <c r="AL50" s="210"/>
      <c r="AM50" s="210"/>
      <c r="AN50" s="210"/>
      <c r="AO50" s="210"/>
      <c r="AP50" s="210"/>
      <c r="AQ50" s="209"/>
      <c r="AR50" s="210"/>
      <c r="AS50" s="812"/>
      <c r="AU50" s="66"/>
      <c r="AV50" s="66" t="str">
        <f t="shared" si="1"/>
        <v>Добавить группу потребителей</v>
      </c>
      <c r="AW50" s="66"/>
      <c r="AX50" s="66"/>
      <c r="AY50" s="10">
        <v>21</v>
      </c>
    </row>
    <row r="51" spans="1:51" ht="21.95" customHeight="1">
      <c r="A51" s="766" t="s">
        <v>251</v>
      </c>
      <c r="B51" s="766" t="s">
        <v>252</v>
      </c>
      <c r="C51" s="766" t="s">
        <v>253</v>
      </c>
      <c r="D51" s="766" t="s">
        <v>541</v>
      </c>
      <c r="E51" s="1284"/>
      <c r="F51" s="1284"/>
      <c r="G51" s="1284"/>
      <c r="H51" s="1283"/>
      <c r="I51" s="766"/>
      <c r="J51" s="766"/>
      <c r="K51" s="766"/>
      <c r="L51" s="767"/>
      <c r="M51" s="423"/>
      <c r="N51" s="423"/>
      <c r="O51" s="60"/>
      <c r="P51" s="33"/>
      <c r="Q51" s="213"/>
      <c r="R51" s="204"/>
      <c r="S51" s="739"/>
      <c r="T51" s="104" t="s">
        <v>485</v>
      </c>
      <c r="U51" s="210"/>
      <c r="V51" s="210"/>
      <c r="W51" s="210"/>
      <c r="X51" s="210"/>
      <c r="Y51" s="210"/>
      <c r="Z51" s="210"/>
      <c r="AA51" s="210"/>
      <c r="AB51" s="210"/>
      <c r="AC51" s="210"/>
      <c r="AD51" s="210"/>
      <c r="AE51" s="210"/>
      <c r="AF51" s="209"/>
      <c r="AG51" s="210"/>
      <c r="AH51" s="210"/>
      <c r="AI51" s="210"/>
      <c r="AJ51" s="210"/>
      <c r="AK51" s="210"/>
      <c r="AL51" s="210"/>
      <c r="AM51" s="210"/>
      <c r="AN51" s="210"/>
      <c r="AO51" s="210"/>
      <c r="AP51" s="210"/>
      <c r="AQ51" s="209"/>
      <c r="AR51" s="210"/>
      <c r="AS51" s="171"/>
      <c r="AU51" s="66"/>
      <c r="AV51" s="66" t="str">
        <f t="shared" si="1"/>
        <v>Добавить наименование признака дифференциации</v>
      </c>
      <c r="AW51" s="66"/>
      <c r="AX51" s="66"/>
      <c r="AY51" s="10">
        <v>21</v>
      </c>
    </row>
    <row r="52" spans="1:51" s="65" customFormat="1" ht="0" hidden="1" customHeight="1">
      <c r="A52" s="142" t="s">
        <v>251</v>
      </c>
      <c r="B52" s="142" t="s">
        <v>252</v>
      </c>
      <c r="C52" s="142"/>
      <c r="D52" s="142"/>
      <c r="E52" s="1284"/>
      <c r="F52" s="1283"/>
      <c r="G52" s="142"/>
      <c r="H52" s="142"/>
      <c r="I52" s="142"/>
      <c r="J52" s="142"/>
      <c r="K52" s="142"/>
      <c r="L52" s="343"/>
      <c r="M52" s="756"/>
      <c r="N52" s="756"/>
      <c r="P52" s="101"/>
      <c r="Q52" s="752"/>
      <c r="R52" s="101"/>
      <c r="S52" s="757"/>
      <c r="T52" s="759" t="s">
        <v>231</v>
      </c>
      <c r="U52" s="310"/>
      <c r="V52" s="310"/>
      <c r="W52" s="310"/>
      <c r="X52" s="310"/>
      <c r="Y52" s="310"/>
      <c r="Z52" s="310"/>
      <c r="AA52" s="310"/>
      <c r="AB52" s="310"/>
      <c r="AC52" s="310"/>
      <c r="AD52" s="310"/>
      <c r="AE52" s="310"/>
      <c r="AF52" s="310"/>
      <c r="AG52" s="310"/>
      <c r="AH52" s="310"/>
      <c r="AI52" s="310"/>
      <c r="AJ52" s="310"/>
      <c r="AK52" s="310"/>
      <c r="AL52" s="310"/>
      <c r="AM52" s="310"/>
      <c r="AN52" s="310"/>
      <c r="AO52" s="310"/>
      <c r="AP52" s="310"/>
      <c r="AQ52" s="310"/>
      <c r="AR52" s="310"/>
      <c r="AS52" s="310"/>
      <c r="AU52" s="66"/>
      <c r="AV52" s="66" t="str">
        <f t="shared" si="1"/>
        <v>Добавить централизованную систему для дифференциации</v>
      </c>
      <c r="AW52" s="66"/>
      <c r="AX52" s="66"/>
      <c r="AY52" s="65">
        <v>0</v>
      </c>
    </row>
    <row r="53" spans="1:51" s="65" customFormat="1" ht="0" hidden="1" customHeight="1">
      <c r="A53" s="142" t="s">
        <v>251</v>
      </c>
      <c r="B53" s="142"/>
      <c r="C53" s="142"/>
      <c r="D53" s="142"/>
      <c r="E53" s="1283"/>
      <c r="F53" s="142"/>
      <c r="G53" s="142"/>
      <c r="H53" s="142"/>
      <c r="I53" s="142"/>
      <c r="J53" s="142"/>
      <c r="K53" s="142"/>
      <c r="L53" s="343"/>
      <c r="M53" s="756"/>
      <c r="N53" s="756"/>
      <c r="P53" s="101"/>
      <c r="Q53" s="752"/>
      <c r="R53" s="101"/>
      <c r="S53" s="757"/>
      <c r="T53" s="759" t="s">
        <v>232</v>
      </c>
      <c r="U53" s="310"/>
      <c r="V53" s="310"/>
      <c r="W53" s="310"/>
      <c r="X53" s="310"/>
      <c r="Y53" s="310"/>
      <c r="Z53" s="310"/>
      <c r="AA53" s="310"/>
      <c r="AB53" s="310"/>
      <c r="AC53" s="310"/>
      <c r="AD53" s="310"/>
      <c r="AE53" s="310"/>
      <c r="AF53" s="310"/>
      <c r="AG53" s="310"/>
      <c r="AH53" s="310"/>
      <c r="AI53" s="310"/>
      <c r="AJ53" s="310"/>
      <c r="AK53" s="310"/>
      <c r="AL53" s="310"/>
      <c r="AM53" s="310"/>
      <c r="AN53" s="310"/>
      <c r="AO53" s="310"/>
      <c r="AP53" s="310"/>
      <c r="AQ53" s="310"/>
      <c r="AR53" s="310"/>
      <c r="AS53" s="310"/>
      <c r="AU53" s="66"/>
      <c r="AV53" s="66" t="str">
        <f t="shared" si="1"/>
        <v>Добавить территорию для дифференциации</v>
      </c>
      <c r="AW53" s="66"/>
      <c r="AX53" s="66"/>
      <c r="AY53" s="65">
        <v>0</v>
      </c>
    </row>
    <row r="54" spans="1:51" s="65" customFormat="1" ht="0" hidden="1" customHeight="1">
      <c r="A54" s="142"/>
      <c r="B54" s="142"/>
      <c r="C54" s="142"/>
      <c r="D54" s="142"/>
      <c r="E54" s="142"/>
      <c r="F54" s="142"/>
      <c r="G54" s="142"/>
      <c r="H54" s="142"/>
      <c r="I54" s="142"/>
      <c r="J54" s="142"/>
      <c r="K54" s="142"/>
      <c r="L54" s="343"/>
      <c r="M54" s="756"/>
      <c r="N54" s="756"/>
      <c r="P54" s="101"/>
      <c r="Q54" s="752"/>
      <c r="R54" s="101"/>
      <c r="S54" s="757"/>
      <c r="T54" s="759" t="s">
        <v>233</v>
      </c>
      <c r="U54" s="310"/>
      <c r="V54" s="310"/>
      <c r="W54" s="310"/>
      <c r="X54" s="310"/>
      <c r="Y54" s="310"/>
      <c r="Z54" s="310"/>
      <c r="AA54" s="310"/>
      <c r="AB54" s="310"/>
      <c r="AC54" s="310"/>
      <c r="AD54" s="310"/>
      <c r="AE54" s="310"/>
      <c r="AF54" s="310"/>
      <c r="AG54" s="310"/>
      <c r="AH54" s="310"/>
      <c r="AI54" s="310"/>
      <c r="AJ54" s="310"/>
      <c r="AK54" s="310"/>
      <c r="AL54" s="310"/>
      <c r="AM54" s="310"/>
      <c r="AN54" s="310"/>
      <c r="AO54" s="310"/>
      <c r="AP54" s="310"/>
      <c r="AQ54" s="310"/>
      <c r="AR54" s="310"/>
      <c r="AS54" s="310"/>
      <c r="AU54" s="66"/>
      <c r="AV54" s="66" t="str">
        <f t="shared" si="1"/>
        <v>Добавить наименование тарифа</v>
      </c>
      <c r="AW54" s="66"/>
      <c r="AX54" s="66"/>
      <c r="AY54" s="65">
        <v>0</v>
      </c>
    </row>
    <row r="55" spans="1:51" ht="11.45" customHeight="1">
      <c r="M55" s="60"/>
      <c r="N55" s="60"/>
      <c r="O55" s="60"/>
      <c r="P55" s="10"/>
      <c r="Q55" s="10"/>
      <c r="R55" s="10"/>
      <c r="S55" s="10"/>
      <c r="AT55" s="10"/>
      <c r="AU55" s="10"/>
      <c r="AV55" s="10"/>
      <c r="AW55" s="10"/>
      <c r="AX55" s="10"/>
      <c r="AY55" s="10">
        <v>11</v>
      </c>
    </row>
    <row r="56" spans="1:51" ht="14.65" customHeight="1">
      <c r="O56" s="60"/>
      <c r="S56" s="195"/>
      <c r="T56" s="1282"/>
      <c r="U56" s="1282"/>
      <c r="V56" s="1282"/>
      <c r="W56" s="1282"/>
      <c r="X56" s="1282"/>
      <c r="Y56" s="1282"/>
      <c r="Z56" s="1282"/>
      <c r="AA56" s="1282"/>
      <c r="AB56" s="1282"/>
      <c r="AC56" s="1282"/>
      <c r="AD56" s="1282"/>
      <c r="AE56" s="1282"/>
      <c r="AF56" s="1282"/>
      <c r="AG56" s="1282"/>
      <c r="AH56" s="1282"/>
      <c r="AI56" s="1282"/>
      <c r="AJ56" s="1282"/>
      <c r="AK56" s="1282"/>
      <c r="AL56" s="1282"/>
      <c r="AM56" s="1282"/>
      <c r="AN56" s="1282"/>
      <c r="AO56" s="1282"/>
      <c r="AP56" s="1282"/>
      <c r="AQ56" s="1282"/>
      <c r="AR56" s="1282"/>
      <c r="AS56" s="1282"/>
      <c r="AY56" s="10">
        <v>14</v>
      </c>
    </row>
    <row r="57" spans="1:51" ht="14.65" customHeight="1">
      <c r="O57" s="60"/>
      <c r="AY57" s="10">
        <v>14</v>
      </c>
    </row>
    <row r="58" spans="1:51" ht="14.65" customHeight="1">
      <c r="O58" s="60"/>
      <c r="S58" s="195"/>
      <c r="T58" s="1282"/>
      <c r="U58" s="1282"/>
      <c r="V58" s="1282"/>
      <c r="W58" s="1282"/>
      <c r="X58" s="1282"/>
      <c r="Y58" s="1282"/>
      <c r="Z58" s="1282"/>
      <c r="AA58" s="1282"/>
      <c r="AB58" s="1282"/>
      <c r="AC58" s="1282"/>
      <c r="AD58" s="1282"/>
      <c r="AE58" s="1282"/>
      <c r="AF58" s="1282"/>
      <c r="AG58" s="1282"/>
      <c r="AH58" s="1282"/>
      <c r="AI58" s="1282"/>
      <c r="AJ58" s="1282"/>
      <c r="AK58" s="1282"/>
      <c r="AL58" s="1282"/>
      <c r="AM58" s="1282"/>
      <c r="AN58" s="1282"/>
      <c r="AO58" s="1282"/>
      <c r="AP58" s="1282"/>
      <c r="AQ58" s="1282"/>
      <c r="AR58" s="1282"/>
      <c r="AS58" s="1282"/>
      <c r="AY58" s="10">
        <v>14</v>
      </c>
    </row>
    <row r="59" spans="1:51" ht="22.5" hidden="1" customHeight="1">
      <c r="A59" s="60" t="s">
        <v>80</v>
      </c>
      <c r="B59" s="60">
        <v>0</v>
      </c>
      <c r="C59" s="60">
        <v>0</v>
      </c>
      <c r="D59" s="60">
        <v>0</v>
      </c>
      <c r="E59" s="60">
        <v>0</v>
      </c>
      <c r="F59" s="60">
        <v>0</v>
      </c>
      <c r="G59" s="60">
        <v>0</v>
      </c>
      <c r="H59" s="60">
        <v>0</v>
      </c>
      <c r="I59" s="60">
        <v>0</v>
      </c>
      <c r="J59" s="60">
        <v>0</v>
      </c>
      <c r="K59" s="60">
        <v>0</v>
      </c>
      <c r="L59" s="298">
        <v>0</v>
      </c>
      <c r="M59" s="503">
        <v>0</v>
      </c>
      <c r="N59" s="503">
        <v>0</v>
      </c>
      <c r="O59" s="503">
        <v>0</v>
      </c>
      <c r="P59" s="32">
        <v>3</v>
      </c>
      <c r="Q59" s="28">
        <v>3</v>
      </c>
      <c r="R59" s="28">
        <v>3</v>
      </c>
      <c r="S59" s="339">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5">
        <v>10</v>
      </c>
      <c r="AU59" s="65">
        <v>10</v>
      </c>
      <c r="AV59" s="65">
        <v>10</v>
      </c>
      <c r="AW59" s="65">
        <v>10</v>
      </c>
      <c r="AX59" s="65">
        <v>10</v>
      </c>
      <c r="AY59" s="1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8" hidden="1" customWidth="1"/>
    <col min="13" max="14" width="12.28515625" style="503" hidden="1" customWidth="1"/>
    <col min="15" max="15" width="23.42578125" style="503" hidden="1" customWidth="1"/>
    <col min="16" max="16" width="3" style="32" customWidth="1"/>
    <col min="17" max="18" width="3" style="28" customWidth="1"/>
    <col min="19" max="19" width="12" style="339"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5" customWidth="1"/>
    <col min="51" max="51" width="10.5703125" style="10" hidden="1"/>
  </cols>
  <sheetData>
    <row r="1" spans="1:51" ht="22.5" hidden="1" customHeight="1">
      <c r="AY1" s="10" t="s">
        <v>14</v>
      </c>
    </row>
    <row r="2" spans="1:51" ht="23.25" hidden="1" customHeight="1">
      <c r="A2" s="766"/>
      <c r="B2" s="766"/>
      <c r="C2" s="766"/>
      <c r="D2" s="766"/>
      <c r="E2" s="1283">
        <v>1</v>
      </c>
      <c r="F2" s="766"/>
      <c r="G2" s="766"/>
      <c r="H2" s="766"/>
      <c r="I2" s="766"/>
      <c r="J2" s="766"/>
      <c r="K2" s="766"/>
      <c r="L2" s="767"/>
      <c r="M2" s="423"/>
      <c r="N2" s="423"/>
      <c r="O2" s="423"/>
      <c r="Q2" s="33"/>
      <c r="R2" s="204"/>
      <c r="S2" s="706" t="e">
        <f>INDEX(PT_DIFFERENTIATION_NUM_NTAR,MATCH(A2,PT_DIFFERENTIATION_NTAR_ID,0))</f>
        <v>#N/A</v>
      </c>
      <c r="T2" s="64" t="s">
        <v>121</v>
      </c>
      <c r="U2" s="168"/>
      <c r="V2" s="1277"/>
      <c r="W2" s="1278"/>
      <c r="X2" s="1278"/>
      <c r="Y2" s="1278"/>
      <c r="Z2" s="1278"/>
      <c r="AA2" s="1278"/>
      <c r="AB2" s="1278"/>
      <c r="AC2" s="1278"/>
      <c r="AD2" s="1278"/>
      <c r="AE2" s="1278"/>
      <c r="AF2" s="1279"/>
      <c r="AG2" s="1277" t="e">
        <f>INDEX(PT_DIFFERENTIATION_NTAR,MATCH(A2,PT_DIFFERENTIATION_NTAR_ID,0))</f>
        <v>#N/A</v>
      </c>
      <c r="AH2" s="1278"/>
      <c r="AI2" s="1278"/>
      <c r="AJ2" s="1278"/>
      <c r="AK2" s="1278"/>
      <c r="AL2" s="1278"/>
      <c r="AM2" s="1278"/>
      <c r="AN2" s="1278"/>
      <c r="AO2" s="1278"/>
      <c r="AP2" s="1278"/>
      <c r="AQ2" s="1278"/>
      <c r="AR2" s="1279"/>
      <c r="AS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6"/>
      <c r="AV2" s="66" t="str">
        <f t="shared" ref="AV2:AV13" si="0">IF(T2="","",T2)</f>
        <v>Наименование тарифа</v>
      </c>
      <c r="AW2" s="66"/>
      <c r="AX2" s="66"/>
      <c r="AY2" s="10">
        <v>0</v>
      </c>
    </row>
    <row r="3" spans="1:51" ht="23.25" hidden="1" customHeight="1">
      <c r="A3" s="766"/>
      <c r="B3" s="766"/>
      <c r="C3" s="766"/>
      <c r="D3" s="766"/>
      <c r="E3" s="1284"/>
      <c r="F3" s="1283">
        <v>1</v>
      </c>
      <c r="G3" s="766"/>
      <c r="H3" s="766"/>
      <c r="I3" s="766"/>
      <c r="J3" s="766"/>
      <c r="K3" s="766"/>
      <c r="L3" s="767"/>
      <c r="M3" s="423"/>
      <c r="N3" s="423"/>
      <c r="O3" s="423"/>
      <c r="P3" s="56"/>
      <c r="Q3" s="201"/>
      <c r="R3" s="202"/>
      <c r="S3" s="706" t="e">
        <f>INDEX(PT_DIFFERENTIATION_NUM_TER,MATCH(B3,PT_DIFFERENTIATION_TER_ID,0))</f>
        <v>#N/A</v>
      </c>
      <c r="T3" s="174" t="s">
        <v>397</v>
      </c>
      <c r="U3" s="168"/>
      <c r="V3" s="1277"/>
      <c r="W3" s="1278"/>
      <c r="X3" s="1278"/>
      <c r="Y3" s="1278"/>
      <c r="Z3" s="1278"/>
      <c r="AA3" s="1278"/>
      <c r="AB3" s="1278"/>
      <c r="AC3" s="1278"/>
      <c r="AD3" s="1278"/>
      <c r="AE3" s="1278"/>
      <c r="AF3" s="1279"/>
      <c r="AG3" s="1277" t="e">
        <f>INDEX(PT_DIFFERENTIATION_TER,MATCH(B3,PT_DIFFERENTIATION_TER_ID,0))</f>
        <v>#N/A</v>
      </c>
      <c r="AH3" s="1278"/>
      <c r="AI3" s="1278"/>
      <c r="AJ3" s="1278"/>
      <c r="AK3" s="1278"/>
      <c r="AL3" s="1278"/>
      <c r="AM3" s="1278"/>
      <c r="AN3" s="1278"/>
      <c r="AO3" s="1278"/>
      <c r="AP3" s="1278"/>
      <c r="AQ3" s="1278"/>
      <c r="AR3" s="1279"/>
      <c r="AS3" s="726" t="s">
        <v>398</v>
      </c>
      <c r="AU3" s="66"/>
      <c r="AV3" s="66" t="str">
        <f t="shared" si="0"/>
        <v>Территория действия тарифа</v>
      </c>
      <c r="AW3" s="66"/>
      <c r="AX3" s="66"/>
      <c r="AY3" s="10">
        <v>0</v>
      </c>
    </row>
    <row r="4" spans="1:51" ht="23.25" hidden="1" customHeight="1">
      <c r="A4" s="766"/>
      <c r="B4" s="766"/>
      <c r="C4" s="766"/>
      <c r="D4" s="766"/>
      <c r="E4" s="1284"/>
      <c r="F4" s="1284"/>
      <c r="G4" s="1283">
        <v>1</v>
      </c>
      <c r="H4" s="766"/>
      <c r="I4" s="766"/>
      <c r="J4" s="766"/>
      <c r="K4" s="766"/>
      <c r="L4" s="767"/>
      <c r="M4" s="423"/>
      <c r="N4" s="423"/>
      <c r="O4" s="423"/>
      <c r="P4" s="203"/>
      <c r="Q4" s="201"/>
      <c r="R4" s="202"/>
      <c r="S4" s="706" t="e">
        <f>INDEX(PT_DIFFERENTIATION_NUM_CS,MATCH(C4,PT_DIFFERENTIATION_CS_ID,0))</f>
        <v>#N/A</v>
      </c>
      <c r="T4" s="175" t="s">
        <v>529</v>
      </c>
      <c r="U4" s="168"/>
      <c r="V4" s="1277"/>
      <c r="W4" s="1278"/>
      <c r="X4" s="1278"/>
      <c r="Y4" s="1278"/>
      <c r="Z4" s="1278"/>
      <c r="AA4" s="1278"/>
      <c r="AB4" s="1278"/>
      <c r="AC4" s="1278"/>
      <c r="AD4" s="1278"/>
      <c r="AE4" s="1278"/>
      <c r="AF4" s="1279"/>
      <c r="AG4" s="1277" t="e">
        <f>INDEX(PT_DIFFERENTIATION_CS,MATCH(C4,PT_DIFFERENTIATION_CS_ID,0))</f>
        <v>#N/A</v>
      </c>
      <c r="AH4" s="1278"/>
      <c r="AI4" s="1278"/>
      <c r="AJ4" s="1278"/>
      <c r="AK4" s="1278"/>
      <c r="AL4" s="1278"/>
      <c r="AM4" s="1278"/>
      <c r="AN4" s="1278"/>
      <c r="AO4" s="1278"/>
      <c r="AP4" s="1278"/>
      <c r="AQ4" s="1278"/>
      <c r="AR4" s="1279"/>
      <c r="AS4" s="726" t="s">
        <v>530</v>
      </c>
      <c r="AU4" s="66"/>
      <c r="AV4" s="66" t="str">
        <f t="shared" si="0"/>
        <v>Наименование централизованной системы горячего водоснабжения</v>
      </c>
      <c r="AW4" s="66"/>
      <c r="AX4" s="66"/>
      <c r="AY4" s="10">
        <v>0</v>
      </c>
    </row>
    <row r="5" spans="1:51" ht="23.25" hidden="1" customHeight="1">
      <c r="A5" s="766"/>
      <c r="B5" s="766"/>
      <c r="C5" s="766"/>
      <c r="D5" s="766"/>
      <c r="E5" s="1284"/>
      <c r="F5" s="1284"/>
      <c r="G5" s="1284"/>
      <c r="H5" s="1284"/>
      <c r="I5" s="1285" t="e">
        <f>S4&amp;".1"</f>
        <v>#N/A</v>
      </c>
      <c r="J5" s="766"/>
      <c r="K5" s="766"/>
      <c r="L5" s="767"/>
      <c r="P5" s="1287">
        <v>1</v>
      </c>
      <c r="Q5" s="119"/>
      <c r="R5" s="205"/>
      <c r="S5" s="706" t="e">
        <f>$I5</f>
        <v>#N/A</v>
      </c>
      <c r="T5" s="161" t="s">
        <v>480</v>
      </c>
      <c r="U5" s="168"/>
      <c r="V5" s="1351"/>
      <c r="W5" s="1352"/>
      <c r="X5" s="1352"/>
      <c r="Y5" s="1352"/>
      <c r="Z5" s="1352"/>
      <c r="AA5" s="1352"/>
      <c r="AB5" s="1352"/>
      <c r="AC5" s="1352"/>
      <c r="AD5" s="1352"/>
      <c r="AE5" s="1352"/>
      <c r="AF5" s="1353"/>
      <c r="AG5" s="1354"/>
      <c r="AH5" s="1355"/>
      <c r="AI5" s="1355"/>
      <c r="AJ5" s="1355"/>
      <c r="AK5" s="1355"/>
      <c r="AL5" s="1355"/>
      <c r="AM5" s="1355"/>
      <c r="AN5" s="1355"/>
      <c r="AO5" s="1355"/>
      <c r="AP5" s="1355"/>
      <c r="AQ5" s="1355"/>
      <c r="AR5" s="1356"/>
      <c r="AS5" s="726" t="s">
        <v>481</v>
      </c>
      <c r="AU5" s="66"/>
      <c r="AV5" s="66" t="str">
        <f t="shared" si="0"/>
        <v>Наименование признака дифференциации</v>
      </c>
      <c r="AW5" s="66"/>
      <c r="AX5" s="66"/>
      <c r="AY5" s="10">
        <v>0</v>
      </c>
    </row>
    <row r="6" spans="1:51" ht="23.25" hidden="1" customHeight="1">
      <c r="A6" s="766"/>
      <c r="B6" s="766"/>
      <c r="C6" s="766"/>
      <c r="D6" s="766"/>
      <c r="E6" s="1284"/>
      <c r="F6" s="1284"/>
      <c r="G6" s="1284"/>
      <c r="H6" s="1284"/>
      <c r="I6" s="1286"/>
      <c r="J6" s="1285" t="e">
        <f>I5&amp;".1"</f>
        <v>#N/A</v>
      </c>
      <c r="K6" s="766"/>
      <c r="L6" s="767" t="s">
        <v>406</v>
      </c>
      <c r="P6" s="1287"/>
      <c r="Q6" s="1287">
        <v>1</v>
      </c>
      <c r="R6" s="206"/>
      <c r="S6" s="706" t="e">
        <f>$J6</f>
        <v>#N/A</v>
      </c>
      <c r="T6" s="162" t="s">
        <v>407</v>
      </c>
      <c r="U6" s="168"/>
      <c r="V6" s="1271"/>
      <c r="W6" s="1272"/>
      <c r="X6" s="1272"/>
      <c r="Y6" s="1272"/>
      <c r="Z6" s="1272"/>
      <c r="AA6" s="1272"/>
      <c r="AB6" s="1272"/>
      <c r="AC6" s="1272"/>
      <c r="AD6" s="1272"/>
      <c r="AE6" s="1272"/>
      <c r="AF6" s="1273"/>
      <c r="AG6" s="1271"/>
      <c r="AH6" s="1272"/>
      <c r="AI6" s="1272"/>
      <c r="AJ6" s="1272"/>
      <c r="AK6" s="1272"/>
      <c r="AL6" s="1272"/>
      <c r="AM6" s="1272"/>
      <c r="AN6" s="1272"/>
      <c r="AO6" s="1272"/>
      <c r="AP6" s="1272"/>
      <c r="AQ6" s="1272"/>
      <c r="AR6" s="1273"/>
      <c r="AS6" s="750" t="s">
        <v>482</v>
      </c>
      <c r="AU6" s="66"/>
      <c r="AV6" s="66" t="str">
        <f t="shared" si="0"/>
        <v>Группа потребителей</v>
      </c>
      <c r="AW6" s="66"/>
      <c r="AX6" s="66"/>
      <c r="AY6" s="10">
        <v>0</v>
      </c>
    </row>
    <row r="7" spans="1:51" ht="23.25" hidden="1" customHeight="1">
      <c r="A7" s="766"/>
      <c r="B7" s="766"/>
      <c r="C7" s="766"/>
      <c r="D7" s="766"/>
      <c r="E7" s="1284"/>
      <c r="F7" s="1284"/>
      <c r="G7" s="1284"/>
      <c r="H7" s="1284"/>
      <c r="I7" s="1286"/>
      <c r="J7" s="1286"/>
      <c r="K7" s="1285" t="e">
        <f>J6&amp;".1"</f>
        <v>#N/A</v>
      </c>
      <c r="L7" s="767"/>
      <c r="P7" s="1287"/>
      <c r="Q7" s="1287"/>
      <c r="R7" s="206">
        <v>1</v>
      </c>
      <c r="S7" s="706" t="e">
        <f>$K7</f>
        <v>#N/A</v>
      </c>
      <c r="T7" s="810"/>
      <c r="U7" s="168"/>
      <c r="V7" s="303"/>
      <c r="W7" s="303"/>
      <c r="X7" s="303"/>
      <c r="Y7" s="303"/>
      <c r="Z7" s="303"/>
      <c r="AA7" s="303"/>
      <c r="AB7" s="725"/>
      <c r="AC7" s="1288"/>
      <c r="AD7" s="1156" t="s">
        <v>64</v>
      </c>
      <c r="AE7" s="1288"/>
      <c r="AF7" s="1156" t="s">
        <v>64</v>
      </c>
      <c r="AG7" s="303"/>
      <c r="AH7" s="303"/>
      <c r="AI7" s="303"/>
      <c r="AJ7" s="303"/>
      <c r="AK7" s="303"/>
      <c r="AL7" s="303"/>
      <c r="AM7" s="725"/>
      <c r="AN7" s="1288"/>
      <c r="AO7" s="1156" t="s">
        <v>64</v>
      </c>
      <c r="AP7" s="1290"/>
      <c r="AQ7" s="1156" t="s">
        <v>64</v>
      </c>
      <c r="AR7" s="811"/>
      <c r="AS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5" t="e">
        <f ca="1">STRCHECKDATE(V8:AR8)</f>
        <v>#NAME?</v>
      </c>
      <c r="AU7" s="66"/>
      <c r="AV7" s="66" t="str">
        <f t="shared" si="0"/>
        <v/>
      </c>
      <c r="AW7" s="66"/>
      <c r="AX7" s="66"/>
      <c r="AY7" s="10">
        <v>0</v>
      </c>
    </row>
    <row r="8" spans="1:51" ht="14.25" hidden="1" customHeight="1">
      <c r="A8" s="766"/>
      <c r="B8" s="766"/>
      <c r="C8" s="766"/>
      <c r="D8" s="766"/>
      <c r="E8" s="1284"/>
      <c r="F8" s="1284"/>
      <c r="G8" s="1284"/>
      <c r="H8" s="1284"/>
      <c r="I8" s="1286"/>
      <c r="J8" s="1286"/>
      <c r="K8" s="1285"/>
      <c r="L8" s="767"/>
      <c r="P8" s="1287"/>
      <c r="Q8" s="1287"/>
      <c r="R8" s="206"/>
      <c r="S8" s="62"/>
      <c r="T8" s="168"/>
      <c r="U8" s="168"/>
      <c r="V8" s="188"/>
      <c r="W8" s="188"/>
      <c r="X8" s="188"/>
      <c r="Y8" s="188"/>
      <c r="Z8" s="188"/>
      <c r="AA8" s="188"/>
      <c r="AB8" s="189" t="str">
        <f>AC7&amp;"-"&amp;AE7</f>
        <v>-</v>
      </c>
      <c r="AC8" s="1289"/>
      <c r="AD8" s="1156"/>
      <c r="AE8" s="1289"/>
      <c r="AF8" s="1156"/>
      <c r="AG8" s="188"/>
      <c r="AH8" s="188"/>
      <c r="AI8" s="188"/>
      <c r="AJ8" s="188"/>
      <c r="AK8" s="188"/>
      <c r="AL8" s="188"/>
      <c r="AM8" s="189" t="str">
        <f>AN7&amp;"-"&amp;AP7</f>
        <v>-</v>
      </c>
      <c r="AN8" s="1289"/>
      <c r="AO8" s="1156"/>
      <c r="AP8" s="1291"/>
      <c r="AQ8" s="1156"/>
      <c r="AR8" s="385"/>
      <c r="AS8" s="1357"/>
      <c r="AU8" s="66"/>
      <c r="AV8" s="66" t="str">
        <f t="shared" si="0"/>
        <v/>
      </c>
      <c r="AW8" s="66"/>
      <c r="AX8" s="66"/>
      <c r="AY8" s="10">
        <v>0</v>
      </c>
    </row>
    <row r="9" spans="1:51" ht="21" hidden="1" customHeight="1">
      <c r="A9" s="766"/>
      <c r="B9" s="766"/>
      <c r="C9" s="766"/>
      <c r="D9" s="766"/>
      <c r="E9" s="1284"/>
      <c r="F9" s="1284"/>
      <c r="G9" s="1284"/>
      <c r="H9" s="1284"/>
      <c r="I9" s="1286"/>
      <c r="J9" s="1285"/>
      <c r="K9" s="766"/>
      <c r="L9" s="767"/>
      <c r="P9" s="1287"/>
      <c r="Q9" s="1287"/>
      <c r="R9" s="205"/>
      <c r="S9" s="739"/>
      <c r="T9" s="163" t="s">
        <v>483</v>
      </c>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726" t="s">
        <v>484</v>
      </c>
      <c r="AU9" s="66"/>
      <c r="AV9" s="66" t="str">
        <f t="shared" si="0"/>
        <v>Добавить значение признака дифференциации</v>
      </c>
      <c r="AW9" s="66"/>
      <c r="AX9" s="66"/>
      <c r="AY9" s="10">
        <v>0</v>
      </c>
    </row>
    <row r="10" spans="1:51" ht="21" hidden="1" customHeight="1">
      <c r="A10" s="766"/>
      <c r="B10" s="766"/>
      <c r="C10" s="766"/>
      <c r="D10" s="766"/>
      <c r="E10" s="1284"/>
      <c r="F10" s="1284"/>
      <c r="G10" s="1284"/>
      <c r="H10" s="1284"/>
      <c r="I10" s="1285"/>
      <c r="J10" s="766"/>
      <c r="K10" s="766"/>
      <c r="L10" s="767"/>
      <c r="P10" s="1287"/>
      <c r="Q10" s="119"/>
      <c r="R10" s="205"/>
      <c r="S10" s="739"/>
      <c r="T10" s="208" t="s">
        <v>412</v>
      </c>
      <c r="U10" s="210"/>
      <c r="V10" s="210"/>
      <c r="W10" s="210"/>
      <c r="X10" s="210"/>
      <c r="Y10" s="210"/>
      <c r="Z10" s="210"/>
      <c r="AA10" s="210"/>
      <c r="AB10" s="210"/>
      <c r="AC10" s="210"/>
      <c r="AD10" s="210"/>
      <c r="AE10" s="210"/>
      <c r="AF10" s="209"/>
      <c r="AG10" s="210"/>
      <c r="AH10" s="210"/>
      <c r="AI10" s="210"/>
      <c r="AJ10" s="210"/>
      <c r="AK10" s="210"/>
      <c r="AL10" s="210"/>
      <c r="AM10" s="210"/>
      <c r="AN10" s="210"/>
      <c r="AO10" s="210"/>
      <c r="AP10" s="210"/>
      <c r="AQ10" s="209"/>
      <c r="AR10" s="210"/>
      <c r="AS10" s="812"/>
      <c r="AU10" s="66"/>
      <c r="AV10" s="66" t="str">
        <f t="shared" si="0"/>
        <v>Добавить группу потребителей</v>
      </c>
      <c r="AW10" s="66"/>
      <c r="AX10" s="66"/>
      <c r="AY10" s="10">
        <v>0</v>
      </c>
    </row>
    <row r="11" spans="1:51" ht="21" hidden="1" customHeight="1">
      <c r="A11" s="766"/>
      <c r="B11" s="766"/>
      <c r="C11" s="766"/>
      <c r="D11" s="766"/>
      <c r="E11" s="1284"/>
      <c r="F11" s="1284"/>
      <c r="G11" s="1284"/>
      <c r="H11" s="1283"/>
      <c r="I11" s="766"/>
      <c r="J11" s="766"/>
      <c r="K11" s="766"/>
      <c r="L11" s="767"/>
      <c r="M11" s="423"/>
      <c r="N11" s="423"/>
      <c r="O11" s="60"/>
      <c r="P11" s="33"/>
      <c r="Q11" s="213"/>
      <c r="R11" s="204"/>
      <c r="S11" s="739"/>
      <c r="T11" s="104" t="s">
        <v>485</v>
      </c>
      <c r="U11" s="210"/>
      <c r="V11" s="210"/>
      <c r="W11" s="210"/>
      <c r="X11" s="210"/>
      <c r="Y11" s="210"/>
      <c r="Z11" s="210"/>
      <c r="AA11" s="210"/>
      <c r="AB11" s="210"/>
      <c r="AC11" s="210"/>
      <c r="AD11" s="210"/>
      <c r="AE11" s="210"/>
      <c r="AF11" s="209"/>
      <c r="AG11" s="210"/>
      <c r="AH11" s="210"/>
      <c r="AI11" s="210"/>
      <c r="AJ11" s="210"/>
      <c r="AK11" s="210"/>
      <c r="AL11" s="210"/>
      <c r="AM11" s="210"/>
      <c r="AN11" s="210"/>
      <c r="AO11" s="210"/>
      <c r="AP11" s="210"/>
      <c r="AQ11" s="209"/>
      <c r="AR11" s="210"/>
      <c r="AS11" s="171"/>
      <c r="AU11" s="66"/>
      <c r="AV11" s="66" t="str">
        <f t="shared" si="0"/>
        <v>Добавить наименование признака дифференциации</v>
      </c>
      <c r="AW11" s="66"/>
      <c r="AX11" s="66"/>
      <c r="AY11" s="10">
        <v>0</v>
      </c>
    </row>
    <row r="12" spans="1:51" s="65" customFormat="1" ht="14.25" hidden="1" customHeight="1">
      <c r="A12" s="142"/>
      <c r="B12" s="142"/>
      <c r="C12" s="142"/>
      <c r="D12" s="142"/>
      <c r="E12" s="1284"/>
      <c r="F12" s="1283"/>
      <c r="G12" s="142"/>
      <c r="H12" s="142"/>
      <c r="I12" s="142"/>
      <c r="J12" s="142"/>
      <c r="K12" s="142"/>
      <c r="L12" s="343"/>
      <c r="M12" s="756"/>
      <c r="N12" s="756"/>
      <c r="P12" s="101"/>
      <c r="Q12" s="752"/>
      <c r="R12" s="101"/>
      <c r="S12" s="757"/>
      <c r="T12" s="759" t="s">
        <v>231</v>
      </c>
      <c r="U12" s="310"/>
      <c r="V12" s="310"/>
      <c r="W12" s="310"/>
      <c r="X12" s="310"/>
      <c r="Y12" s="310"/>
      <c r="Z12" s="310"/>
      <c r="AA12" s="310"/>
      <c r="AB12" s="310"/>
      <c r="AC12" s="310"/>
      <c r="AD12" s="310"/>
      <c r="AE12" s="310"/>
      <c r="AF12" s="310"/>
      <c r="AG12" s="310"/>
      <c r="AH12" s="310"/>
      <c r="AI12" s="310"/>
      <c r="AJ12" s="310"/>
      <c r="AK12" s="310"/>
      <c r="AL12" s="310"/>
      <c r="AM12" s="310"/>
      <c r="AN12" s="310"/>
      <c r="AO12" s="310"/>
      <c r="AP12" s="310"/>
      <c r="AQ12" s="310"/>
      <c r="AR12" s="310"/>
      <c r="AS12" s="310"/>
      <c r="AU12" s="66"/>
      <c r="AV12" s="66" t="str">
        <f t="shared" si="0"/>
        <v>Добавить централизованную систему для дифференциации</v>
      </c>
      <c r="AW12" s="66"/>
      <c r="AX12" s="66"/>
      <c r="AY12" s="65">
        <v>0</v>
      </c>
    </row>
    <row r="13" spans="1:51" s="65" customFormat="1" ht="14.25" hidden="1" customHeight="1">
      <c r="A13" s="142"/>
      <c r="B13" s="142"/>
      <c r="C13" s="142"/>
      <c r="D13" s="142"/>
      <c r="E13" s="1283"/>
      <c r="F13" s="142"/>
      <c r="G13" s="142"/>
      <c r="H13" s="142"/>
      <c r="I13" s="142"/>
      <c r="J13" s="142"/>
      <c r="K13" s="142"/>
      <c r="L13" s="343"/>
      <c r="M13" s="756"/>
      <c r="N13" s="756"/>
      <c r="P13" s="101"/>
      <c r="Q13" s="752"/>
      <c r="R13" s="101"/>
      <c r="S13" s="757"/>
      <c r="T13" s="759" t="s">
        <v>232</v>
      </c>
      <c r="U13" s="310"/>
      <c r="V13" s="310"/>
      <c r="W13" s="310"/>
      <c r="X13" s="310"/>
      <c r="Y13" s="310"/>
      <c r="Z13" s="310"/>
      <c r="AA13" s="310"/>
      <c r="AB13" s="310"/>
      <c r="AC13" s="310"/>
      <c r="AD13" s="310"/>
      <c r="AE13" s="310"/>
      <c r="AF13" s="310"/>
      <c r="AG13" s="310"/>
      <c r="AH13" s="310"/>
      <c r="AI13" s="310"/>
      <c r="AJ13" s="310"/>
      <c r="AK13" s="310"/>
      <c r="AL13" s="310"/>
      <c r="AM13" s="310"/>
      <c r="AN13" s="310"/>
      <c r="AO13" s="310"/>
      <c r="AP13" s="310"/>
      <c r="AQ13" s="310"/>
      <c r="AR13" s="310"/>
      <c r="AS13" s="310"/>
      <c r="AU13" s="66"/>
      <c r="AV13" s="66" t="str">
        <f t="shared" si="0"/>
        <v>Добавить территорию для дифференциации</v>
      </c>
      <c r="AW13" s="66"/>
      <c r="AX13" s="66"/>
      <c r="AY13" s="65">
        <v>0</v>
      </c>
    </row>
    <row r="14" spans="1:51" ht="14.25" hidden="1" customHeight="1">
      <c r="AY14" s="10">
        <v>0</v>
      </c>
    </row>
    <row r="15" spans="1:51" ht="14.25" hidden="1" customHeight="1">
      <c r="AG15" s="365"/>
      <c r="AH15" s="365"/>
      <c r="AI15" s="365"/>
      <c r="AJ15" s="365"/>
      <c r="AK15" s="365"/>
      <c r="AL15" s="365"/>
      <c r="AM15" s="765"/>
      <c r="AN15" s="1281"/>
      <c r="AO15" s="1280" t="s">
        <v>64</v>
      </c>
      <c r="AP15" s="1281"/>
      <c r="AQ15" s="1280" t="s">
        <v>64</v>
      </c>
      <c r="AY15" s="10">
        <v>0</v>
      </c>
    </row>
    <row r="16" spans="1:51" ht="14.25" hidden="1" customHeight="1">
      <c r="AG16" s="365"/>
      <c r="AH16" s="365"/>
      <c r="AI16" s="365"/>
      <c r="AJ16" s="365"/>
      <c r="AK16" s="365"/>
      <c r="AL16" s="365"/>
      <c r="AM16" s="189" t="str">
        <f>AN15&amp;"-"&amp;AP15</f>
        <v>-</v>
      </c>
      <c r="AN16" s="1280"/>
      <c r="AO16" s="1280"/>
      <c r="AP16" s="1280"/>
      <c r="AQ16" s="1280"/>
      <c r="AY16" s="10">
        <v>0</v>
      </c>
    </row>
    <row r="17" spans="1:51" ht="14.25" hidden="1" customHeight="1">
      <c r="AY17" s="10">
        <v>0</v>
      </c>
    </row>
    <row r="18" spans="1:51" s="60" customFormat="1" ht="22.5" hidden="1" customHeight="1">
      <c r="L18" s="298"/>
      <c r="M18" s="503"/>
      <c r="N18" s="503"/>
      <c r="O18" s="768" t="s">
        <v>415</v>
      </c>
      <c r="P18" s="503"/>
      <c r="Q18" s="769"/>
      <c r="R18" s="769"/>
      <c r="S18" s="423"/>
      <c r="AC18" s="768"/>
      <c r="AE18" s="768"/>
      <c r="AN18" s="768"/>
      <c r="AP18" s="768"/>
      <c r="AT18" s="65"/>
      <c r="AU18" s="65"/>
      <c r="AV18" s="65"/>
      <c r="AW18" s="65"/>
      <c r="AX18" s="65"/>
      <c r="AY18" s="60">
        <v>0</v>
      </c>
    </row>
    <row r="19" spans="1:51" s="60" customFormat="1" ht="14.25" hidden="1" customHeight="1">
      <c r="L19" s="298"/>
      <c r="M19" s="503"/>
      <c r="N19" s="503"/>
      <c r="O19" s="503"/>
      <c r="P19" s="503"/>
      <c r="Q19" s="769"/>
      <c r="R19" s="769"/>
      <c r="S19" s="423"/>
      <c r="AT19" s="65"/>
      <c r="AU19" s="65"/>
      <c r="AV19" s="65"/>
      <c r="AW19" s="65"/>
      <c r="AX19" s="65"/>
      <c r="AY19" s="60">
        <v>0</v>
      </c>
    </row>
    <row r="20" spans="1:51" s="60" customFormat="1" ht="12" hidden="1" customHeight="1">
      <c r="L20" s="298"/>
      <c r="M20" s="503"/>
      <c r="N20" s="503"/>
      <c r="O20" s="767" t="s">
        <v>416</v>
      </c>
      <c r="P20" s="503"/>
      <c r="Q20" s="813"/>
      <c r="R20" s="813"/>
      <c r="S20" s="423"/>
      <c r="T20" s="60" t="s">
        <v>417</v>
      </c>
      <c r="AD20" s="79" t="s">
        <v>418</v>
      </c>
      <c r="AF20" s="79" t="s">
        <v>419</v>
      </c>
      <c r="AG20" s="60" t="s">
        <v>417</v>
      </c>
      <c r="AO20" s="79" t="s">
        <v>420</v>
      </c>
      <c r="AQ20" s="79" t="s">
        <v>419</v>
      </c>
      <c r="AY20" s="60">
        <v>0</v>
      </c>
    </row>
    <row r="21" spans="1:51" ht="14.25" hidden="1" customHeight="1">
      <c r="O21" s="767"/>
      <c r="AY21" s="10">
        <v>0</v>
      </c>
    </row>
    <row r="22" spans="1:51" ht="14.25" hidden="1" customHeight="1">
      <c r="O22" s="767"/>
      <c r="AY22" s="10">
        <v>0</v>
      </c>
    </row>
    <row r="23" spans="1:51" ht="14.65" customHeight="1">
      <c r="Q23" s="27"/>
      <c r="R23" s="27"/>
      <c r="S23" s="736"/>
      <c r="T23" s="9"/>
      <c r="U23" s="9"/>
      <c r="AY23" s="10">
        <v>14</v>
      </c>
    </row>
    <row r="24" spans="1:51" ht="26.25" customHeight="1">
      <c r="Q24" s="27"/>
      <c r="R24" s="27"/>
      <c r="S24" s="12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4"/>
      <c r="U24" s="1264"/>
      <c r="V24" s="1264"/>
      <c r="W24" s="1264"/>
      <c r="X24" s="1264"/>
      <c r="Y24" s="1264"/>
      <c r="Z24" s="1264"/>
      <c r="AA24" s="1264"/>
      <c r="AB24" s="1264"/>
      <c r="AC24" s="1264"/>
      <c r="AD24" s="1264"/>
      <c r="AE24" s="1264"/>
      <c r="AF24" s="1264"/>
      <c r="AG24" s="1264"/>
      <c r="AH24" s="1264"/>
      <c r="AI24" s="1264"/>
      <c r="AJ24" s="1264"/>
      <c r="AK24" s="1264"/>
      <c r="AL24" s="1264"/>
      <c r="AM24" s="1264"/>
      <c r="AN24" s="1264"/>
      <c r="AO24" s="1264"/>
      <c r="AP24" s="1264"/>
      <c r="AQ24" s="57"/>
      <c r="AY24" s="10">
        <v>25</v>
      </c>
    </row>
    <row r="25" spans="1:51" ht="14.65" customHeight="1">
      <c r="Q25" s="27"/>
      <c r="R25" s="27"/>
      <c r="S25" s="1236" t="str">
        <f>IF(org=0,"Не определено",org)</f>
        <v>Общество с ограниченной ответственностью "Березовский рудник"</v>
      </c>
      <c r="T25" s="1236"/>
      <c r="U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6"/>
      <c r="AP25" s="1236"/>
      <c r="AQ25" s="57"/>
      <c r="AY25" s="10">
        <v>14</v>
      </c>
    </row>
    <row r="26" spans="1:51" ht="14.25" hidden="1" customHeight="1">
      <c r="Q26" s="27"/>
      <c r="R26" s="27"/>
      <c r="S26" s="736"/>
      <c r="T26" s="9"/>
      <c r="U26" s="9"/>
      <c r="V26" s="186"/>
      <c r="W26" s="186"/>
      <c r="X26" s="186"/>
      <c r="Y26" s="186"/>
      <c r="Z26" s="186"/>
      <c r="AA26" s="186"/>
      <c r="AB26" s="186"/>
      <c r="AC26" s="186"/>
      <c r="AD26" s="186"/>
      <c r="AE26" s="186"/>
      <c r="AF26" s="186"/>
      <c r="AG26" s="186"/>
      <c r="AH26" s="186"/>
      <c r="AI26" s="186"/>
      <c r="AJ26" s="186"/>
      <c r="AK26" s="186"/>
      <c r="AL26" s="186"/>
      <c r="AM26" s="186"/>
      <c r="AN26" s="186"/>
      <c r="AO26" s="186"/>
      <c r="AP26" s="186"/>
      <c r="AQ26" s="186"/>
      <c r="AY26" s="10">
        <v>0</v>
      </c>
    </row>
    <row r="27" spans="1:51" s="34" customFormat="1" ht="25.5" hidden="1" customHeight="1">
      <c r="A27" s="79"/>
      <c r="B27" s="79"/>
      <c r="C27" s="79"/>
      <c r="D27" s="79"/>
      <c r="E27" s="79"/>
      <c r="F27" s="79"/>
      <c r="G27" s="79"/>
      <c r="H27" s="79"/>
      <c r="I27" s="79"/>
      <c r="J27" s="79"/>
      <c r="K27" s="79"/>
      <c r="L27" s="767"/>
      <c r="M27" s="79"/>
      <c r="N27" s="79"/>
      <c r="O27" s="79"/>
      <c r="S27" s="1274" t="s">
        <v>41</v>
      </c>
      <c r="T27" s="1274"/>
      <c r="U27" s="770"/>
      <c r="V27" s="1276" t="str">
        <f>IF(TITLE_NAME_OR_PR_CHANGE="",IF(TITLE_NAME_OR_PR="","",TITLE_NAME_OR_PR),TITLE_NAME_OR_PR_CHANGE)</f>
        <v/>
      </c>
      <c r="W27" s="1276"/>
      <c r="X27" s="1276"/>
      <c r="Y27" s="1276"/>
      <c r="Z27" s="1276"/>
      <c r="AA27" s="1276"/>
      <c r="AB27" s="1276"/>
      <c r="AC27" s="1276"/>
      <c r="AD27" s="1276"/>
      <c r="AE27" s="1276"/>
      <c r="AF27" s="10"/>
      <c r="AG27" s="1276" t="str">
        <f>IF(TITLE_NAME_OR_PR_CHANGE="",IF(TITLE_NAME_OR_PR="","",TITLE_NAME_OR_PR),TITLE_NAME_OR_PR_CHANGE)</f>
        <v/>
      </c>
      <c r="AH27" s="1276"/>
      <c r="AI27" s="1276"/>
      <c r="AJ27" s="1276"/>
      <c r="AK27" s="1276"/>
      <c r="AL27" s="1276"/>
      <c r="AM27" s="1276"/>
      <c r="AN27" s="1276"/>
      <c r="AO27" s="1276"/>
      <c r="AP27" s="1276"/>
      <c r="AQ27" s="10"/>
      <c r="AR27" s="10"/>
      <c r="AS27" s="160"/>
      <c r="AT27" s="66"/>
      <c r="AU27" s="66"/>
      <c r="AV27" s="66"/>
      <c r="AW27" s="66"/>
      <c r="AX27" s="66"/>
      <c r="AY27" s="34">
        <v>0</v>
      </c>
    </row>
    <row r="28" spans="1:51" s="34" customFormat="1" ht="18.75" hidden="1" customHeight="1">
      <c r="A28" s="79"/>
      <c r="B28" s="79"/>
      <c r="C28" s="79"/>
      <c r="D28" s="79"/>
      <c r="E28" s="79"/>
      <c r="F28" s="79"/>
      <c r="G28" s="79"/>
      <c r="H28" s="79"/>
      <c r="I28" s="79"/>
      <c r="J28" s="79"/>
      <c r="K28" s="79"/>
      <c r="L28" s="767"/>
      <c r="M28" s="79"/>
      <c r="N28" s="79"/>
      <c r="O28" s="79"/>
      <c r="S28" s="1274" t="s">
        <v>421</v>
      </c>
      <c r="T28" s="1274"/>
      <c r="U28" s="770"/>
      <c r="V28" s="1275">
        <f>IF(TITLE_DATE_PR_CHANGE="",IF(TITLE_DATE_PR="","",TITLE_DATE_PR),TITLE_DATE_PR_CHANGE)</f>
        <v>45805</v>
      </c>
      <c r="W28" s="1275"/>
      <c r="X28" s="1275"/>
      <c r="Y28" s="1275"/>
      <c r="Z28" s="1275"/>
      <c r="AA28" s="1275"/>
      <c r="AB28" s="1275"/>
      <c r="AC28" s="1275"/>
      <c r="AD28" s="1275"/>
      <c r="AE28" s="1275"/>
      <c r="AF28" s="10"/>
      <c r="AG28" s="1275">
        <f>IF(TITLE_DATE_PR_CHANGE="",IF(TITLE_DATE_PR="","",TITLE_DATE_PR),TITLE_DATE_PR_CHANGE)</f>
        <v>45805</v>
      </c>
      <c r="AH28" s="1275"/>
      <c r="AI28" s="1275"/>
      <c r="AJ28" s="1275"/>
      <c r="AK28" s="1275"/>
      <c r="AL28" s="1275"/>
      <c r="AM28" s="1275"/>
      <c r="AN28" s="1275"/>
      <c r="AO28" s="1275"/>
      <c r="AP28" s="1275"/>
      <c r="AQ28" s="10"/>
      <c r="AR28" s="10"/>
      <c r="AS28" s="160"/>
      <c r="AT28" s="66"/>
      <c r="AU28" s="66"/>
      <c r="AV28" s="66"/>
      <c r="AW28" s="66"/>
      <c r="AX28" s="66"/>
      <c r="AY28" s="34">
        <v>0</v>
      </c>
    </row>
    <row r="29" spans="1:51" s="34" customFormat="1" ht="18.75" hidden="1" customHeight="1">
      <c r="A29" s="79"/>
      <c r="B29" s="79"/>
      <c r="C29" s="79"/>
      <c r="D29" s="79"/>
      <c r="E29" s="79"/>
      <c r="F29" s="79"/>
      <c r="G29" s="79"/>
      <c r="H29" s="79"/>
      <c r="I29" s="79"/>
      <c r="J29" s="79"/>
      <c r="K29" s="79"/>
      <c r="L29" s="767"/>
      <c r="M29" s="79"/>
      <c r="N29" s="79"/>
      <c r="O29" s="79"/>
      <c r="S29" s="1274" t="s">
        <v>422</v>
      </c>
      <c r="T29" s="1274"/>
      <c r="U29" s="770"/>
      <c r="V29" s="1276" t="str">
        <f>IF(TITLE_NUMBER_PR_CHANGE="",IF(TITLE_NUMBER_PR="","",TITLE_NUMBER_PR),TITLE_NUMBER_PR_CHANGE)</f>
        <v>2496</v>
      </c>
      <c r="W29" s="1276"/>
      <c r="X29" s="1276"/>
      <c r="Y29" s="1276"/>
      <c r="Z29" s="1276"/>
      <c r="AA29" s="1276"/>
      <c r="AB29" s="1276"/>
      <c r="AC29" s="1276"/>
      <c r="AD29" s="1276"/>
      <c r="AE29" s="1276"/>
      <c r="AF29" s="10"/>
      <c r="AG29" s="1276" t="str">
        <f>IF(TITLE_NUMBER_PR_CHANGE="",IF(TITLE_NUMBER_PR="","",TITLE_NUMBER_PR),TITLE_NUMBER_PR_CHANGE)</f>
        <v>2496</v>
      </c>
      <c r="AH29" s="1276"/>
      <c r="AI29" s="1276"/>
      <c r="AJ29" s="1276"/>
      <c r="AK29" s="1276"/>
      <c r="AL29" s="1276"/>
      <c r="AM29" s="1276"/>
      <c r="AN29" s="1276"/>
      <c r="AO29" s="1276"/>
      <c r="AP29" s="1276"/>
      <c r="AQ29" s="10"/>
      <c r="AR29" s="10"/>
      <c r="AS29" s="160"/>
      <c r="AT29" s="66"/>
      <c r="AU29" s="66"/>
      <c r="AV29" s="66"/>
      <c r="AW29" s="66"/>
      <c r="AX29" s="66"/>
      <c r="AY29" s="34">
        <v>0</v>
      </c>
    </row>
    <row r="30" spans="1:51" s="34" customFormat="1" ht="18.75" hidden="1" customHeight="1">
      <c r="A30" s="79"/>
      <c r="B30" s="79"/>
      <c r="C30" s="79"/>
      <c r="D30" s="79"/>
      <c r="E30" s="79"/>
      <c r="F30" s="79"/>
      <c r="G30" s="79"/>
      <c r="H30" s="79"/>
      <c r="I30" s="79"/>
      <c r="J30" s="79"/>
      <c r="K30" s="79"/>
      <c r="L30" s="767"/>
      <c r="M30" s="79"/>
      <c r="N30" s="79"/>
      <c r="O30" s="79"/>
      <c r="S30" s="1274" t="s">
        <v>42</v>
      </c>
      <c r="T30" s="1274"/>
      <c r="U30" s="770"/>
      <c r="V30" s="1276" t="str">
        <f>IF(TITLE_IST_PUB_CHANGE="",IF(TITLE_IST_PUB="","",TITLE_IST_PUB),TITLE_IST_PUB_CHANGE)</f>
        <v/>
      </c>
      <c r="W30" s="1276"/>
      <c r="X30" s="1276"/>
      <c r="Y30" s="1276"/>
      <c r="Z30" s="1276"/>
      <c r="AA30" s="1276"/>
      <c r="AB30" s="1276"/>
      <c r="AC30" s="1276"/>
      <c r="AD30" s="1276"/>
      <c r="AE30" s="1276"/>
      <c r="AF30" s="10"/>
      <c r="AG30" s="1276" t="str">
        <f>IF(TITLE_IST_PUB_CHANGE="",IF(TITLE_IST_PUB="","",TITLE_IST_PUB),TITLE_IST_PUB_CHANGE)</f>
        <v/>
      </c>
      <c r="AH30" s="1276"/>
      <c r="AI30" s="1276"/>
      <c r="AJ30" s="1276"/>
      <c r="AK30" s="1276"/>
      <c r="AL30" s="1276"/>
      <c r="AM30" s="1276"/>
      <c r="AN30" s="1276"/>
      <c r="AO30" s="1276"/>
      <c r="AP30" s="1276"/>
      <c r="AQ30" s="10"/>
      <c r="AR30" s="10"/>
      <c r="AS30" s="160"/>
      <c r="AT30" s="66"/>
      <c r="AU30" s="66"/>
      <c r="AV30" s="66"/>
      <c r="AW30" s="66"/>
      <c r="AX30" s="66"/>
      <c r="AY30" s="34">
        <v>0</v>
      </c>
    </row>
    <row r="31" spans="1:51" ht="14.25" customHeight="1">
      <c r="Q31" s="27"/>
      <c r="R31" s="27"/>
      <c r="S31" s="736"/>
      <c r="T31" s="9"/>
      <c r="U31" s="9"/>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Y31" s="10">
        <v>0</v>
      </c>
    </row>
    <row r="32" spans="1:51" s="34" customFormat="1" ht="18.75" customHeight="1">
      <c r="A32" s="79"/>
      <c r="B32" s="79"/>
      <c r="C32" s="79"/>
      <c r="D32" s="79"/>
      <c r="E32" s="79"/>
      <c r="F32" s="79"/>
      <c r="G32" s="79"/>
      <c r="H32" s="79"/>
      <c r="I32" s="79"/>
      <c r="J32" s="79"/>
      <c r="K32" s="79"/>
      <c r="L32" s="767"/>
      <c r="M32" s="79"/>
      <c r="N32" s="79"/>
      <c r="O32" s="79"/>
      <c r="S32" s="1274" t="s">
        <v>423</v>
      </c>
      <c r="T32" s="1274"/>
      <c r="U32" s="770"/>
      <c r="V32" s="1275">
        <f>IF(TITLE_DATE_PR_CHANGE="",IF(TITLE_DATE_PR="","",TITLE_DATE_PR),TITLE_DATE_PR_CHANGE)</f>
        <v>45805</v>
      </c>
      <c r="W32" s="1275"/>
      <c r="X32" s="1275"/>
      <c r="Y32" s="1275"/>
      <c r="Z32" s="1275"/>
      <c r="AA32" s="1275"/>
      <c r="AB32" s="1275"/>
      <c r="AC32" s="1275"/>
      <c r="AD32" s="1275"/>
      <c r="AE32" s="1275"/>
      <c r="AF32" s="10"/>
      <c r="AG32" s="1275">
        <f>IF(TITLE_DATE_PR_CHANGE="",IF(TITLE_DATE_PR="","",TITLE_DATE_PR),TITLE_DATE_PR_CHANGE)</f>
        <v>45805</v>
      </c>
      <c r="AH32" s="1275"/>
      <c r="AI32" s="1275"/>
      <c r="AJ32" s="1275"/>
      <c r="AK32" s="1275"/>
      <c r="AL32" s="1275"/>
      <c r="AM32" s="1275"/>
      <c r="AN32" s="1275"/>
      <c r="AO32" s="1275"/>
      <c r="AP32" s="1275"/>
      <c r="AQ32" s="10"/>
      <c r="AR32" s="10"/>
      <c r="AS32" s="160"/>
      <c r="AT32" s="66"/>
      <c r="AU32" s="66"/>
      <c r="AV32" s="66"/>
      <c r="AW32" s="66"/>
      <c r="AX32" s="66"/>
      <c r="AY32" s="34">
        <v>0</v>
      </c>
    </row>
    <row r="33" spans="1:51" s="34" customFormat="1" ht="18.75" customHeight="1">
      <c r="A33" s="79"/>
      <c r="B33" s="79"/>
      <c r="C33" s="79"/>
      <c r="D33" s="79"/>
      <c r="E33" s="79"/>
      <c r="F33" s="79"/>
      <c r="G33" s="79"/>
      <c r="H33" s="79"/>
      <c r="I33" s="79"/>
      <c r="J33" s="79"/>
      <c r="K33" s="79"/>
      <c r="L33" s="767"/>
      <c r="M33" s="79"/>
      <c r="N33" s="79"/>
      <c r="O33" s="79"/>
      <c r="S33" s="1274" t="s">
        <v>424</v>
      </c>
      <c r="T33" s="1274"/>
      <c r="U33" s="770"/>
      <c r="V33" s="1276" t="str">
        <f>IF(TITLE_NUMBER_PR_CHANGE="",IF(TITLE_NUMBER_PR="","",TITLE_NUMBER_PR),TITLE_NUMBER_PR_CHANGE)</f>
        <v>2496</v>
      </c>
      <c r="W33" s="1276"/>
      <c r="X33" s="1276"/>
      <c r="Y33" s="1276"/>
      <c r="Z33" s="1276"/>
      <c r="AA33" s="1276"/>
      <c r="AB33" s="1276"/>
      <c r="AC33" s="1276"/>
      <c r="AD33" s="1276"/>
      <c r="AE33" s="1276"/>
      <c r="AF33" s="10"/>
      <c r="AG33" s="1276" t="str">
        <f>IF(TITLE_NUMBER_PR_CHANGE="",IF(TITLE_NUMBER_PR="","",TITLE_NUMBER_PR),TITLE_NUMBER_PR_CHANGE)</f>
        <v>2496</v>
      </c>
      <c r="AH33" s="1276"/>
      <c r="AI33" s="1276"/>
      <c r="AJ33" s="1276"/>
      <c r="AK33" s="1276"/>
      <c r="AL33" s="1276"/>
      <c r="AM33" s="1276"/>
      <c r="AN33" s="1276"/>
      <c r="AO33" s="1276"/>
      <c r="AP33" s="1276"/>
      <c r="AQ33" s="10"/>
      <c r="AR33" s="10"/>
      <c r="AS33" s="160"/>
      <c r="AT33" s="66"/>
      <c r="AU33" s="66"/>
      <c r="AV33" s="66"/>
      <c r="AW33" s="66"/>
      <c r="AX33" s="66"/>
      <c r="AY33" s="34">
        <v>0</v>
      </c>
    </row>
    <row r="34" spans="1:51" s="34" customFormat="1" ht="1.1499999999999999" customHeight="1">
      <c r="A34" s="79"/>
      <c r="B34" s="79"/>
      <c r="C34" s="79"/>
      <c r="D34" s="79"/>
      <c r="E34" s="79"/>
      <c r="F34" s="79"/>
      <c r="G34" s="79"/>
      <c r="H34" s="79"/>
      <c r="I34" s="79"/>
      <c r="J34" s="79"/>
      <c r="K34" s="79"/>
      <c r="L34" s="767"/>
      <c r="M34" s="79"/>
      <c r="N34" s="79"/>
      <c r="O34" s="79"/>
      <c r="S34" s="10"/>
      <c r="T34" s="10"/>
      <c r="U34" s="75"/>
      <c r="V34" s="10"/>
      <c r="W34" s="10"/>
      <c r="X34" s="10"/>
      <c r="Y34" s="10"/>
      <c r="Z34" s="10"/>
      <c r="AA34" s="10"/>
      <c r="AB34" s="10"/>
      <c r="AC34" s="10"/>
      <c r="AD34" s="10"/>
      <c r="AE34" s="10"/>
      <c r="AF34" s="65" t="s">
        <v>425</v>
      </c>
      <c r="AG34" s="10"/>
      <c r="AH34" s="10"/>
      <c r="AI34" s="10"/>
      <c r="AJ34" s="10"/>
      <c r="AK34" s="10"/>
      <c r="AL34" s="10"/>
      <c r="AM34" s="10"/>
      <c r="AN34" s="10"/>
      <c r="AO34" s="10"/>
      <c r="AP34" s="10"/>
      <c r="AQ34" s="65" t="s">
        <v>425</v>
      </c>
      <c r="AT34" s="66"/>
      <c r="AU34" s="66"/>
      <c r="AV34" s="66"/>
      <c r="AW34" s="66"/>
      <c r="AX34" s="66"/>
      <c r="AY34" s="34">
        <v>1</v>
      </c>
    </row>
    <row r="35" spans="1:51" ht="14.65" customHeight="1">
      <c r="Q35" s="27"/>
      <c r="R35" s="27"/>
      <c r="S35" s="736"/>
      <c r="T35" s="9"/>
      <c r="U35" s="717"/>
      <c r="V35" s="1295"/>
      <c r="W35" s="1295"/>
      <c r="X35" s="1295"/>
      <c r="Y35" s="1295"/>
      <c r="Z35" s="1295"/>
      <c r="AA35" s="1295"/>
      <c r="AB35" s="1295"/>
      <c r="AC35" s="1295"/>
      <c r="AD35" s="1295"/>
      <c r="AE35" s="1295"/>
      <c r="AF35" s="1295"/>
      <c r="AG35" s="1295"/>
      <c r="AH35" s="1295"/>
      <c r="AI35" s="1295"/>
      <c r="AJ35" s="1295"/>
      <c r="AK35" s="1295"/>
      <c r="AL35" s="1295"/>
      <c r="AM35" s="1295"/>
      <c r="AN35" s="1295"/>
      <c r="AO35" s="1295"/>
      <c r="AP35" s="1295"/>
      <c r="AQ35" s="1295"/>
      <c r="AY35" s="10">
        <v>14</v>
      </c>
    </row>
    <row r="36" spans="1:51" ht="14.65" customHeight="1">
      <c r="Q36" s="27"/>
      <c r="R36" s="27"/>
      <c r="S36" s="1146" t="s">
        <v>300</v>
      </c>
      <c r="T36" s="1146"/>
      <c r="U36" s="1146"/>
      <c r="V36" s="1146"/>
      <c r="W36" s="1146"/>
      <c r="X36" s="1146"/>
      <c r="Y36" s="1146"/>
      <c r="Z36" s="1146"/>
      <c r="AA36" s="1146"/>
      <c r="AB36" s="1146"/>
      <c r="AC36" s="1146"/>
      <c r="AD36" s="1146"/>
      <c r="AE36" s="1146"/>
      <c r="AF36" s="1146"/>
      <c r="AG36" s="1146"/>
      <c r="AH36" s="1146"/>
      <c r="AI36" s="1146"/>
      <c r="AJ36" s="1146"/>
      <c r="AK36" s="1146"/>
      <c r="AL36" s="1146"/>
      <c r="AM36" s="1146"/>
      <c r="AN36" s="1146"/>
      <c r="AO36" s="1146"/>
      <c r="AP36" s="1146"/>
      <c r="AQ36" s="1146"/>
      <c r="AR36" s="1146"/>
      <c r="AS36" s="1146" t="s">
        <v>301</v>
      </c>
      <c r="AY36" s="10">
        <v>14</v>
      </c>
    </row>
    <row r="37" spans="1:51" ht="14.65" customHeight="1">
      <c r="Q37" s="27"/>
      <c r="R37" s="27"/>
      <c r="S37" s="1296" t="s">
        <v>86</v>
      </c>
      <c r="T37" s="1244" t="s">
        <v>426</v>
      </c>
      <c r="U37" s="169"/>
      <c r="V37" s="1297" t="s">
        <v>427</v>
      </c>
      <c r="W37" s="1298"/>
      <c r="X37" s="1298"/>
      <c r="Y37" s="1298"/>
      <c r="Z37" s="1298"/>
      <c r="AA37" s="1298"/>
      <c r="AB37" s="1298"/>
      <c r="AC37" s="1298"/>
      <c r="AD37" s="1298"/>
      <c r="AE37" s="1299"/>
      <c r="AF37" s="1300" t="s">
        <v>428</v>
      </c>
      <c r="AG37" s="1297" t="s">
        <v>427</v>
      </c>
      <c r="AH37" s="1298"/>
      <c r="AI37" s="1298"/>
      <c r="AJ37" s="1298"/>
      <c r="AK37" s="1298"/>
      <c r="AL37" s="1298"/>
      <c r="AM37" s="1298"/>
      <c r="AN37" s="1298"/>
      <c r="AO37" s="1298"/>
      <c r="AP37" s="1299"/>
      <c r="AQ37" s="1300" t="s">
        <v>429</v>
      </c>
      <c r="AR37" s="1303" t="s">
        <v>430</v>
      </c>
      <c r="AS37" s="1146"/>
      <c r="AY37" s="10">
        <v>14</v>
      </c>
    </row>
    <row r="38" spans="1:51" s="10" customFormat="1" ht="19.899999999999999" customHeight="1">
      <c r="A38" s="60"/>
      <c r="B38" s="60"/>
      <c r="C38" s="60"/>
      <c r="D38" s="60"/>
      <c r="E38" s="60"/>
      <c r="F38" s="60"/>
      <c r="G38" s="60"/>
      <c r="H38" s="60"/>
      <c r="I38" s="60"/>
      <c r="J38" s="60"/>
      <c r="K38" s="60"/>
      <c r="L38" s="298"/>
      <c r="M38" s="503"/>
      <c r="N38" s="503"/>
      <c r="O38" s="503"/>
      <c r="P38" s="32"/>
      <c r="Q38" s="27"/>
      <c r="R38" s="27"/>
      <c r="S38" s="1296"/>
      <c r="T38" s="1244"/>
      <c r="U38" s="604"/>
      <c r="V38" s="1146" t="s">
        <v>531</v>
      </c>
      <c r="W38" s="1367" t="s">
        <v>532</v>
      </c>
      <c r="X38" s="1367"/>
      <c r="Y38" s="1367"/>
      <c r="Z38" s="1367" t="s">
        <v>533</v>
      </c>
      <c r="AA38" s="1367"/>
      <c r="AB38" s="1367"/>
      <c r="AC38" s="1217" t="s">
        <v>434</v>
      </c>
      <c r="AD38" s="1325"/>
      <c r="AE38" s="1218"/>
      <c r="AF38" s="1301"/>
      <c r="AG38" s="1146" t="s">
        <v>531</v>
      </c>
      <c r="AH38" s="1367" t="s">
        <v>532</v>
      </c>
      <c r="AI38" s="1367"/>
      <c r="AJ38" s="1367"/>
      <c r="AK38" s="1367" t="s">
        <v>533</v>
      </c>
      <c r="AL38" s="1367"/>
      <c r="AM38" s="1367"/>
      <c r="AN38" s="1217" t="s">
        <v>434</v>
      </c>
      <c r="AO38" s="1325"/>
      <c r="AP38" s="1218"/>
      <c r="AQ38" s="1301"/>
      <c r="AR38" s="1304"/>
      <c r="AS38" s="1146"/>
      <c r="AT38" s="65"/>
      <c r="AU38" s="65"/>
      <c r="AV38" s="65"/>
      <c r="AW38" s="65"/>
      <c r="AX38" s="65"/>
      <c r="AY38" s="10">
        <v>19</v>
      </c>
    </row>
    <row r="39" spans="1:51" ht="19.899999999999999" customHeight="1">
      <c r="Q39" s="27"/>
      <c r="R39" s="27"/>
      <c r="S39" s="1296"/>
      <c r="T39" s="1244"/>
      <c r="U39" s="604"/>
      <c r="V39" s="1146"/>
      <c r="W39" s="1367" t="s">
        <v>534</v>
      </c>
      <c r="X39" s="1367" t="s">
        <v>535</v>
      </c>
      <c r="Y39" s="1367"/>
      <c r="Z39" s="1367" t="s">
        <v>536</v>
      </c>
      <c r="AA39" s="1367" t="s">
        <v>535</v>
      </c>
      <c r="AB39" s="1367"/>
      <c r="AC39" s="1222"/>
      <c r="AD39" s="1326"/>
      <c r="AE39" s="1223"/>
      <c r="AF39" s="1301"/>
      <c r="AG39" s="1146"/>
      <c r="AH39" s="1367" t="s">
        <v>534</v>
      </c>
      <c r="AI39" s="1367" t="s">
        <v>535</v>
      </c>
      <c r="AJ39" s="1367"/>
      <c r="AK39" s="1367" t="s">
        <v>536</v>
      </c>
      <c r="AL39" s="1367" t="s">
        <v>535</v>
      </c>
      <c r="AM39" s="1367"/>
      <c r="AN39" s="1222"/>
      <c r="AO39" s="1326"/>
      <c r="AP39" s="1223"/>
      <c r="AQ39" s="1301"/>
      <c r="AR39" s="1304"/>
      <c r="AS39" s="1146"/>
      <c r="AY39" s="10">
        <v>19</v>
      </c>
    </row>
    <row r="40" spans="1:51" ht="61.9" customHeight="1">
      <c r="A40" s="79"/>
      <c r="B40" s="79" t="s">
        <v>133</v>
      </c>
      <c r="C40" s="79" t="s">
        <v>134</v>
      </c>
      <c r="D40" s="79" t="s">
        <v>135</v>
      </c>
      <c r="E40" s="767" t="s">
        <v>435</v>
      </c>
      <c r="F40" s="767" t="s">
        <v>436</v>
      </c>
      <c r="G40" s="767" t="s">
        <v>437</v>
      </c>
      <c r="H40" s="767"/>
      <c r="I40" s="767" t="s">
        <v>487</v>
      </c>
      <c r="J40" s="767" t="s">
        <v>440</v>
      </c>
      <c r="K40" s="767" t="s">
        <v>488</v>
      </c>
      <c r="L40" s="767" t="s">
        <v>416</v>
      </c>
      <c r="Q40" s="27"/>
      <c r="R40" s="27"/>
      <c r="S40" s="1296"/>
      <c r="T40" s="1244"/>
      <c r="U40" s="170"/>
      <c r="V40" s="1146"/>
      <c r="W40" s="1367"/>
      <c r="X40" s="1052" t="s">
        <v>537</v>
      </c>
      <c r="Y40" s="1052" t="s">
        <v>538</v>
      </c>
      <c r="Z40" s="1367"/>
      <c r="AA40" s="1052" t="s">
        <v>539</v>
      </c>
      <c r="AB40" s="1052" t="s">
        <v>540</v>
      </c>
      <c r="AC40" s="38" t="s">
        <v>444</v>
      </c>
      <c r="AD40" s="1249" t="s">
        <v>445</v>
      </c>
      <c r="AE40" s="1263"/>
      <c r="AF40" s="1302"/>
      <c r="AG40" s="1146"/>
      <c r="AH40" s="1367"/>
      <c r="AI40" s="1052" t="s">
        <v>537</v>
      </c>
      <c r="AJ40" s="1052" t="s">
        <v>538</v>
      </c>
      <c r="AK40" s="1367"/>
      <c r="AL40" s="1052" t="s">
        <v>539</v>
      </c>
      <c r="AM40" s="1052" t="s">
        <v>540</v>
      </c>
      <c r="AN40" s="38" t="s">
        <v>444</v>
      </c>
      <c r="AO40" s="1249" t="s">
        <v>445</v>
      </c>
      <c r="AP40" s="1263"/>
      <c r="AQ40" s="1302"/>
      <c r="AR40" s="1305"/>
      <c r="AS40" s="1146"/>
      <c r="AY40" s="10">
        <v>59</v>
      </c>
    </row>
    <row r="41" spans="1:51" s="200" customFormat="1" ht="11.25" hidden="1" customHeight="1">
      <c r="A41" s="79"/>
      <c r="B41" s="79"/>
      <c r="C41" s="79"/>
      <c r="D41" s="79"/>
      <c r="E41" s="79"/>
      <c r="F41" s="79"/>
      <c r="G41" s="79"/>
      <c r="H41" s="79"/>
      <c r="I41" s="79"/>
      <c r="J41" s="79"/>
      <c r="K41" s="79"/>
      <c r="L41" s="767"/>
      <c r="M41" s="503"/>
      <c r="N41" s="503"/>
      <c r="O41" s="503"/>
      <c r="P41" s="719"/>
      <c r="Q41" s="720"/>
      <c r="R41" s="722">
        <v>1</v>
      </c>
      <c r="S41" s="738" t="s">
        <v>107</v>
      </c>
      <c r="T41" s="723" t="s">
        <v>108</v>
      </c>
      <c r="U41" s="718" t="str">
        <f ca="1">OFFSET(U41,0,-1)</f>
        <v>2</v>
      </c>
      <c r="V41" s="724">
        <f ca="1">OFFSET(V41,0,-1)+1</f>
        <v>3</v>
      </c>
      <c r="W41" s="724"/>
      <c r="X41" s="724"/>
      <c r="Y41" s="724"/>
      <c r="Z41" s="724"/>
      <c r="AA41" s="724"/>
      <c r="AB41" s="724">
        <f ca="1">OFFSET(AB41,0,-1)+1</f>
        <v>1</v>
      </c>
      <c r="AC41" s="724">
        <f ca="1">OFFSET(AC41,0,-1)+1</f>
        <v>2</v>
      </c>
      <c r="AD41" s="1294">
        <f ca="1">OFFSET(AD41,0,-1)+1</f>
        <v>3</v>
      </c>
      <c r="AE41" s="1294"/>
      <c r="AF41" s="724">
        <f ca="1">OFFSET(AF41,0,-2)+1</f>
        <v>4</v>
      </c>
      <c r="AG41" s="724">
        <f ca="1">OFFSET(AG41,0,-1)+1</f>
        <v>5</v>
      </c>
      <c r="AH41" s="724"/>
      <c r="AI41" s="724"/>
      <c r="AJ41" s="724"/>
      <c r="AK41" s="724"/>
      <c r="AL41" s="724"/>
      <c r="AM41" s="724">
        <f ca="1">OFFSET(AM41,0,-1)+1</f>
        <v>1</v>
      </c>
      <c r="AN41" s="724">
        <f ca="1">OFFSET(AN41,0,-1)+1</f>
        <v>2</v>
      </c>
      <c r="AO41" s="1294">
        <f ca="1">OFFSET(AO41,0,-1)+1</f>
        <v>3</v>
      </c>
      <c r="AP41" s="1294"/>
      <c r="AQ41" s="724">
        <f ca="1">OFFSET(AQ41,0,-2)+1</f>
        <v>4</v>
      </c>
      <c r="AR41" s="718">
        <f ca="1">OFFSET(AR41,0,-1)</f>
        <v>4</v>
      </c>
      <c r="AS41" s="724">
        <f ca="1">OFFSET(AS41,0,-1)+1</f>
        <v>5</v>
      </c>
      <c r="AT41" s="65"/>
      <c r="AU41" s="65"/>
      <c r="AV41" s="65"/>
      <c r="AW41" s="65"/>
      <c r="AX41" s="65"/>
      <c r="AY41" s="200">
        <v>0</v>
      </c>
    </row>
    <row r="42" spans="1:51" ht="24" customHeight="1">
      <c r="A42" s="766" t="s">
        <v>256</v>
      </c>
      <c r="B42" s="766"/>
      <c r="C42" s="766"/>
      <c r="D42" s="766"/>
      <c r="E42" s="1283">
        <v>1</v>
      </c>
      <c r="F42" s="766"/>
      <c r="G42" s="766"/>
      <c r="H42" s="766"/>
      <c r="I42" s="766"/>
      <c r="J42" s="766"/>
      <c r="K42" s="766"/>
      <c r="L42" s="767"/>
      <c r="M42" s="423"/>
      <c r="N42" s="423"/>
      <c r="O42" s="423"/>
      <c r="Q42" s="33"/>
      <c r="R42" s="204"/>
      <c r="S42" s="706">
        <f>INDEX(PT_DIFFERENTIATION_NUM_NTAR,MATCH(A42,PT_DIFFERENTIATION_NTAR_ID,0))</f>
        <v>0</v>
      </c>
      <c r="T42" s="64" t="s">
        <v>121</v>
      </c>
      <c r="U42" s="168"/>
      <c r="V42" s="1277"/>
      <c r="W42" s="1278"/>
      <c r="X42" s="1278"/>
      <c r="Y42" s="1278"/>
      <c r="Z42" s="1278"/>
      <c r="AA42" s="1278"/>
      <c r="AB42" s="1278"/>
      <c r="AC42" s="1278"/>
      <c r="AD42" s="1278"/>
      <c r="AE42" s="1278"/>
      <c r="AF42" s="1279"/>
      <c r="AG42" s="1277" t="str">
        <f>INDEX(PT_DIFFERENTIATION_NTAR,MATCH(A42,PT_DIFFERENTIATION_NTAR_ID,0))</f>
        <v/>
      </c>
      <c r="AH42" s="1278"/>
      <c r="AI42" s="1278"/>
      <c r="AJ42" s="1278"/>
      <c r="AK42" s="1278"/>
      <c r="AL42" s="1278"/>
      <c r="AM42" s="1278"/>
      <c r="AN42" s="1278"/>
      <c r="AO42" s="1278"/>
      <c r="AP42" s="1278"/>
      <c r="AQ42" s="1278"/>
      <c r="AR42" s="1279"/>
      <c r="AS4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6"/>
      <c r="AV42" s="66" t="str">
        <f t="shared" ref="AV42:AV54" si="1">IF(T42="","",T42)</f>
        <v>Наименование тарифа</v>
      </c>
      <c r="AW42" s="66"/>
      <c r="AX42" s="66"/>
      <c r="AY42" s="10">
        <v>23</v>
      </c>
    </row>
    <row r="43" spans="1:51" ht="24" customHeight="1">
      <c r="A43" s="766" t="s">
        <v>256</v>
      </c>
      <c r="B43" s="766" t="s">
        <v>257</v>
      </c>
      <c r="C43" s="766"/>
      <c r="D43" s="766"/>
      <c r="E43" s="1284"/>
      <c r="F43" s="1283">
        <v>1</v>
      </c>
      <c r="G43" s="766"/>
      <c r="H43" s="766"/>
      <c r="I43" s="766"/>
      <c r="J43" s="766"/>
      <c r="K43" s="766"/>
      <c r="L43" s="767"/>
      <c r="M43" s="423"/>
      <c r="N43" s="423"/>
      <c r="O43" s="423"/>
      <c r="P43" s="56"/>
      <c r="Q43" s="201"/>
      <c r="R43" s="202"/>
      <c r="S43" s="706" t="str">
        <f>INDEX(PT_DIFFERENTIATION_NUM_TER,MATCH(B43,PT_DIFFERENTIATION_TER_ID,0))</f>
        <v>.</v>
      </c>
      <c r="T43" s="174" t="s">
        <v>397</v>
      </c>
      <c r="U43" s="168"/>
      <c r="V43" s="1277"/>
      <c r="W43" s="1278"/>
      <c r="X43" s="1278"/>
      <c r="Y43" s="1278"/>
      <c r="Z43" s="1278"/>
      <c r="AA43" s="1278"/>
      <c r="AB43" s="1278"/>
      <c r="AC43" s="1278"/>
      <c r="AD43" s="1278"/>
      <c r="AE43" s="1278"/>
      <c r="AF43" s="1279"/>
      <c r="AG43" s="1277" t="str">
        <f>INDEX(PT_DIFFERENTIATION_TER,MATCH(B43,PT_DIFFERENTIATION_TER_ID,0))</f>
        <v/>
      </c>
      <c r="AH43" s="1278"/>
      <c r="AI43" s="1278"/>
      <c r="AJ43" s="1278"/>
      <c r="AK43" s="1278"/>
      <c r="AL43" s="1278"/>
      <c r="AM43" s="1278"/>
      <c r="AN43" s="1278"/>
      <c r="AO43" s="1278"/>
      <c r="AP43" s="1278"/>
      <c r="AQ43" s="1278"/>
      <c r="AR43" s="1279"/>
      <c r="AS43" s="726" t="s">
        <v>398</v>
      </c>
      <c r="AU43" s="66"/>
      <c r="AV43" s="66" t="str">
        <f t="shared" si="1"/>
        <v>Территория действия тарифа</v>
      </c>
      <c r="AW43" s="66"/>
      <c r="AX43" s="66"/>
      <c r="AY43" s="10">
        <v>23</v>
      </c>
    </row>
    <row r="44" spans="1:51" ht="24" customHeight="1">
      <c r="A44" s="766" t="s">
        <v>256</v>
      </c>
      <c r="B44" s="766" t="s">
        <v>257</v>
      </c>
      <c r="C44" s="766" t="s">
        <v>258</v>
      </c>
      <c r="D44" s="766"/>
      <c r="E44" s="1284"/>
      <c r="F44" s="1284"/>
      <c r="G44" s="1283">
        <v>1</v>
      </c>
      <c r="H44" s="766"/>
      <c r="I44" s="766"/>
      <c r="J44" s="766"/>
      <c r="K44" s="766"/>
      <c r="L44" s="767"/>
      <c r="M44" s="423"/>
      <c r="N44" s="423"/>
      <c r="O44" s="423"/>
      <c r="P44" s="203"/>
      <c r="Q44" s="201"/>
      <c r="R44" s="202"/>
      <c r="S44" s="706" t="str">
        <f>INDEX(PT_DIFFERENTIATION_NUM_CS,MATCH(C44,PT_DIFFERENTIATION_CS_ID,0))</f>
        <v>..</v>
      </c>
      <c r="T44" s="175" t="s">
        <v>529</v>
      </c>
      <c r="U44" s="168"/>
      <c r="V44" s="1277"/>
      <c r="W44" s="1278"/>
      <c r="X44" s="1278"/>
      <c r="Y44" s="1278"/>
      <c r="Z44" s="1278"/>
      <c r="AA44" s="1278"/>
      <c r="AB44" s="1278"/>
      <c r="AC44" s="1278"/>
      <c r="AD44" s="1278"/>
      <c r="AE44" s="1278"/>
      <c r="AF44" s="1279"/>
      <c r="AG44" s="1277" t="str">
        <f>INDEX(PT_DIFFERENTIATION_CS,MATCH(C44,PT_DIFFERENTIATION_CS_ID,0))</f>
        <v/>
      </c>
      <c r="AH44" s="1278"/>
      <c r="AI44" s="1278"/>
      <c r="AJ44" s="1278"/>
      <c r="AK44" s="1278"/>
      <c r="AL44" s="1278"/>
      <c r="AM44" s="1278"/>
      <c r="AN44" s="1278"/>
      <c r="AO44" s="1278"/>
      <c r="AP44" s="1278"/>
      <c r="AQ44" s="1278"/>
      <c r="AR44" s="1279"/>
      <c r="AS44" s="726" t="s">
        <v>530</v>
      </c>
      <c r="AU44" s="66"/>
      <c r="AV44" s="66" t="str">
        <f t="shared" si="1"/>
        <v>Наименование централизованной системы горячего водоснабжения</v>
      </c>
      <c r="AW44" s="66"/>
      <c r="AX44" s="66"/>
      <c r="AY44" s="10">
        <v>23</v>
      </c>
    </row>
    <row r="45" spans="1:51" ht="24" customHeight="1">
      <c r="A45" s="766" t="s">
        <v>256</v>
      </c>
      <c r="B45" s="766" t="s">
        <v>257</v>
      </c>
      <c r="C45" s="766" t="s">
        <v>258</v>
      </c>
      <c r="D45" s="766" t="s">
        <v>542</v>
      </c>
      <c r="E45" s="1284"/>
      <c r="F45" s="1284"/>
      <c r="G45" s="1284"/>
      <c r="H45" s="1284"/>
      <c r="I45" s="1285" t="str">
        <f>S44&amp;".1"</f>
        <v>...1</v>
      </c>
      <c r="J45" s="766"/>
      <c r="K45" s="766"/>
      <c r="L45" s="767"/>
      <c r="P45" s="1287">
        <v>1</v>
      </c>
      <c r="Q45" s="119"/>
      <c r="R45" s="205"/>
      <c r="S45" s="706" t="str">
        <f>$I45</f>
        <v>...1</v>
      </c>
      <c r="T45" s="161" t="s">
        <v>480</v>
      </c>
      <c r="U45" s="168"/>
      <c r="V45" s="1351"/>
      <c r="W45" s="1352"/>
      <c r="X45" s="1352"/>
      <c r="Y45" s="1352"/>
      <c r="Z45" s="1352"/>
      <c r="AA45" s="1352"/>
      <c r="AB45" s="1352"/>
      <c r="AC45" s="1352"/>
      <c r="AD45" s="1352"/>
      <c r="AE45" s="1352"/>
      <c r="AF45" s="1353"/>
      <c r="AG45" s="1354"/>
      <c r="AH45" s="1355"/>
      <c r="AI45" s="1355"/>
      <c r="AJ45" s="1355"/>
      <c r="AK45" s="1355"/>
      <c r="AL45" s="1355"/>
      <c r="AM45" s="1355"/>
      <c r="AN45" s="1355"/>
      <c r="AO45" s="1355"/>
      <c r="AP45" s="1355"/>
      <c r="AQ45" s="1355"/>
      <c r="AR45" s="1356"/>
      <c r="AS45" s="726" t="s">
        <v>481</v>
      </c>
      <c r="AU45" s="66"/>
      <c r="AV45" s="66" t="str">
        <f t="shared" si="1"/>
        <v>Наименование признака дифференциации</v>
      </c>
      <c r="AW45" s="66"/>
      <c r="AX45" s="66"/>
      <c r="AY45" s="10">
        <v>23</v>
      </c>
    </row>
    <row r="46" spans="1:51" ht="24" customHeight="1">
      <c r="A46" s="766" t="s">
        <v>256</v>
      </c>
      <c r="B46" s="766" t="s">
        <v>257</v>
      </c>
      <c r="C46" s="766" t="s">
        <v>258</v>
      </c>
      <c r="D46" s="766" t="s">
        <v>542</v>
      </c>
      <c r="E46" s="1284"/>
      <c r="F46" s="1284"/>
      <c r="G46" s="1284"/>
      <c r="H46" s="1284"/>
      <c r="I46" s="1286"/>
      <c r="J46" s="1285" t="str">
        <f>I45&amp;".1"</f>
        <v>...1.1</v>
      </c>
      <c r="K46" s="766"/>
      <c r="L46" s="767" t="s">
        <v>406</v>
      </c>
      <c r="P46" s="1287"/>
      <c r="Q46" s="1287">
        <v>1</v>
      </c>
      <c r="R46" s="206"/>
      <c r="S46" s="706" t="str">
        <f>$J46</f>
        <v>...1.1</v>
      </c>
      <c r="T46" s="162" t="s">
        <v>407</v>
      </c>
      <c r="U46" s="168"/>
      <c r="V46" s="1271"/>
      <c r="W46" s="1272"/>
      <c r="X46" s="1272"/>
      <c r="Y46" s="1272"/>
      <c r="Z46" s="1272"/>
      <c r="AA46" s="1272"/>
      <c r="AB46" s="1272"/>
      <c r="AC46" s="1272"/>
      <c r="AD46" s="1272"/>
      <c r="AE46" s="1272"/>
      <c r="AF46" s="1273"/>
      <c r="AG46" s="1271"/>
      <c r="AH46" s="1272"/>
      <c r="AI46" s="1272"/>
      <c r="AJ46" s="1272"/>
      <c r="AK46" s="1272"/>
      <c r="AL46" s="1272"/>
      <c r="AM46" s="1272"/>
      <c r="AN46" s="1272"/>
      <c r="AO46" s="1272"/>
      <c r="AP46" s="1272"/>
      <c r="AQ46" s="1272"/>
      <c r="AR46" s="1273"/>
      <c r="AS46" s="750" t="s">
        <v>482</v>
      </c>
      <c r="AU46" s="66"/>
      <c r="AV46" s="66" t="str">
        <f t="shared" si="1"/>
        <v>Группа потребителей</v>
      </c>
      <c r="AW46" s="66"/>
      <c r="AX46" s="66"/>
      <c r="AY46" s="10">
        <v>23</v>
      </c>
    </row>
    <row r="47" spans="1:51" ht="24" customHeight="1">
      <c r="A47" s="766" t="s">
        <v>256</v>
      </c>
      <c r="B47" s="766" t="s">
        <v>257</v>
      </c>
      <c r="C47" s="766" t="s">
        <v>258</v>
      </c>
      <c r="D47" s="766" t="s">
        <v>542</v>
      </c>
      <c r="E47" s="1284"/>
      <c r="F47" s="1284"/>
      <c r="G47" s="1284"/>
      <c r="H47" s="1284"/>
      <c r="I47" s="1286"/>
      <c r="J47" s="1286"/>
      <c r="K47" s="1285" t="str">
        <f>J46&amp;".1"</f>
        <v>...1.1.1</v>
      </c>
      <c r="L47" s="767"/>
      <c r="P47" s="1287"/>
      <c r="Q47" s="1287"/>
      <c r="R47" s="206">
        <v>1</v>
      </c>
      <c r="S47" s="706" t="str">
        <f>$K47</f>
        <v>...1.1.1</v>
      </c>
      <c r="T47" s="810"/>
      <c r="U47" s="168"/>
      <c r="V47" s="365"/>
      <c r="W47" s="365"/>
      <c r="X47" s="365"/>
      <c r="Y47" s="365"/>
      <c r="Z47" s="365"/>
      <c r="AA47" s="365"/>
      <c r="AB47" s="765"/>
      <c r="AC47" s="1281"/>
      <c r="AD47" s="1280" t="s">
        <v>64</v>
      </c>
      <c r="AE47" s="1281"/>
      <c r="AF47" s="1280" t="s">
        <v>64</v>
      </c>
      <c r="AG47" s="303"/>
      <c r="AH47" s="303"/>
      <c r="AI47" s="303"/>
      <c r="AJ47" s="303"/>
      <c r="AK47" s="303"/>
      <c r="AL47" s="303"/>
      <c r="AM47" s="725"/>
      <c r="AN47" s="1288"/>
      <c r="AO47" s="1156" t="s">
        <v>64</v>
      </c>
      <c r="AP47" s="1290"/>
      <c r="AQ47" s="1156" t="s">
        <v>19</v>
      </c>
      <c r="AR47" s="811"/>
      <c r="AS4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5" t="e">
        <f ca="1">STRCHECKDATE(V48:AR48)</f>
        <v>#NAME?</v>
      </c>
      <c r="AU47" s="66"/>
      <c r="AV47" s="66" t="str">
        <f t="shared" si="1"/>
        <v/>
      </c>
      <c r="AW47" s="66"/>
      <c r="AX47" s="66"/>
      <c r="AY47" s="10">
        <v>23</v>
      </c>
    </row>
    <row r="48" spans="1:51" ht="0" hidden="1" customHeight="1">
      <c r="A48" s="766" t="s">
        <v>256</v>
      </c>
      <c r="B48" s="766" t="s">
        <v>257</v>
      </c>
      <c r="C48" s="766" t="s">
        <v>258</v>
      </c>
      <c r="D48" s="766" t="s">
        <v>542</v>
      </c>
      <c r="E48" s="1284"/>
      <c r="F48" s="1284"/>
      <c r="G48" s="1284"/>
      <c r="H48" s="1284"/>
      <c r="I48" s="1286"/>
      <c r="J48" s="1286"/>
      <c r="K48" s="1285"/>
      <c r="L48" s="767"/>
      <c r="P48" s="1287"/>
      <c r="Q48" s="1287"/>
      <c r="R48" s="206"/>
      <c r="S48" s="62"/>
      <c r="T48" s="168"/>
      <c r="U48" s="168"/>
      <c r="V48" s="365"/>
      <c r="W48" s="365"/>
      <c r="X48" s="365"/>
      <c r="Y48" s="365"/>
      <c r="Z48" s="365"/>
      <c r="AA48" s="365"/>
      <c r="AB48" s="189" t="str">
        <f>AC47&amp;"-"&amp;AE47</f>
        <v>-</v>
      </c>
      <c r="AC48" s="1280"/>
      <c r="AD48" s="1280"/>
      <c r="AE48" s="1280"/>
      <c r="AF48" s="1280"/>
      <c r="AG48" s="188"/>
      <c r="AH48" s="188"/>
      <c r="AI48" s="188"/>
      <c r="AJ48" s="188"/>
      <c r="AK48" s="188"/>
      <c r="AL48" s="188"/>
      <c r="AM48" s="189" t="str">
        <f>AN47&amp;"-"&amp;AP47</f>
        <v>-</v>
      </c>
      <c r="AN48" s="1289"/>
      <c r="AO48" s="1156"/>
      <c r="AP48" s="1291"/>
      <c r="AQ48" s="1156"/>
      <c r="AR48" s="385"/>
      <c r="AS48" s="1357"/>
      <c r="AU48" s="66"/>
      <c r="AV48" s="66" t="str">
        <f t="shared" si="1"/>
        <v/>
      </c>
      <c r="AW48" s="66"/>
      <c r="AX48" s="66"/>
      <c r="AY48" s="10">
        <v>0</v>
      </c>
    </row>
    <row r="49" spans="1:51" ht="21" customHeight="1">
      <c r="A49" s="766" t="s">
        <v>256</v>
      </c>
      <c r="B49" s="766" t="s">
        <v>257</v>
      </c>
      <c r="C49" s="766" t="s">
        <v>258</v>
      </c>
      <c r="D49" s="766" t="s">
        <v>542</v>
      </c>
      <c r="E49" s="1284"/>
      <c r="F49" s="1284"/>
      <c r="G49" s="1284"/>
      <c r="H49" s="1284"/>
      <c r="I49" s="1286"/>
      <c r="J49" s="1285"/>
      <c r="K49" s="766"/>
      <c r="L49" s="767"/>
      <c r="P49" s="1287"/>
      <c r="Q49" s="1287"/>
      <c r="R49" s="205"/>
      <c r="S49" s="739"/>
      <c r="T49" s="163" t="s">
        <v>483</v>
      </c>
      <c r="U49" s="210"/>
      <c r="V49" s="210"/>
      <c r="W49" s="210"/>
      <c r="X49" s="210"/>
      <c r="Y49" s="210"/>
      <c r="Z49" s="210"/>
      <c r="AA49" s="210"/>
      <c r="AB49" s="210"/>
      <c r="AC49" s="210"/>
      <c r="AD49" s="210"/>
      <c r="AE49" s="210"/>
      <c r="AF49" s="210"/>
      <c r="AG49" s="210"/>
      <c r="AH49" s="210"/>
      <c r="AI49" s="210"/>
      <c r="AJ49" s="210"/>
      <c r="AK49" s="210"/>
      <c r="AL49" s="210"/>
      <c r="AM49" s="210"/>
      <c r="AN49" s="210"/>
      <c r="AO49" s="210"/>
      <c r="AP49" s="210"/>
      <c r="AQ49" s="210"/>
      <c r="AR49" s="210"/>
      <c r="AS49" s="726" t="s">
        <v>484</v>
      </c>
      <c r="AU49" s="66"/>
      <c r="AV49" s="66" t="str">
        <f t="shared" si="1"/>
        <v>Добавить значение признака дифференциации</v>
      </c>
      <c r="AW49" s="66"/>
      <c r="AX49" s="66"/>
      <c r="AY49" s="10">
        <v>20</v>
      </c>
    </row>
    <row r="50" spans="1:51" ht="21.95" customHeight="1">
      <c r="A50" s="766" t="s">
        <v>256</v>
      </c>
      <c r="B50" s="766" t="s">
        <v>257</v>
      </c>
      <c r="C50" s="766" t="s">
        <v>258</v>
      </c>
      <c r="D50" s="766" t="s">
        <v>542</v>
      </c>
      <c r="E50" s="1284"/>
      <c r="F50" s="1284"/>
      <c r="G50" s="1284"/>
      <c r="H50" s="1284"/>
      <c r="I50" s="1285"/>
      <c r="J50" s="766"/>
      <c r="K50" s="766"/>
      <c r="L50" s="767"/>
      <c r="P50" s="1287"/>
      <c r="Q50" s="119"/>
      <c r="R50" s="205"/>
      <c r="S50" s="739"/>
      <c r="T50" s="208" t="s">
        <v>412</v>
      </c>
      <c r="U50" s="210"/>
      <c r="V50" s="210"/>
      <c r="W50" s="210"/>
      <c r="X50" s="210"/>
      <c r="Y50" s="210"/>
      <c r="Z50" s="210"/>
      <c r="AA50" s="210"/>
      <c r="AB50" s="210"/>
      <c r="AC50" s="210"/>
      <c r="AD50" s="210"/>
      <c r="AE50" s="210"/>
      <c r="AF50" s="209"/>
      <c r="AG50" s="210"/>
      <c r="AH50" s="210"/>
      <c r="AI50" s="210"/>
      <c r="AJ50" s="210"/>
      <c r="AK50" s="210"/>
      <c r="AL50" s="210"/>
      <c r="AM50" s="210"/>
      <c r="AN50" s="210"/>
      <c r="AO50" s="210"/>
      <c r="AP50" s="210"/>
      <c r="AQ50" s="209"/>
      <c r="AR50" s="210"/>
      <c r="AS50" s="812"/>
      <c r="AU50" s="66"/>
      <c r="AV50" s="66" t="str">
        <f t="shared" si="1"/>
        <v>Добавить группу потребителей</v>
      </c>
      <c r="AW50" s="66"/>
      <c r="AX50" s="66"/>
      <c r="AY50" s="10">
        <v>21</v>
      </c>
    </row>
    <row r="51" spans="1:51" ht="21.95" customHeight="1">
      <c r="A51" s="766" t="s">
        <v>256</v>
      </c>
      <c r="B51" s="766" t="s">
        <v>257</v>
      </c>
      <c r="C51" s="766" t="s">
        <v>258</v>
      </c>
      <c r="D51" s="766" t="s">
        <v>542</v>
      </c>
      <c r="E51" s="1284"/>
      <c r="F51" s="1284"/>
      <c r="G51" s="1284"/>
      <c r="H51" s="1283"/>
      <c r="I51" s="766"/>
      <c r="J51" s="766"/>
      <c r="K51" s="766"/>
      <c r="L51" s="767"/>
      <c r="M51" s="423"/>
      <c r="N51" s="423"/>
      <c r="O51" s="60"/>
      <c r="P51" s="33"/>
      <c r="Q51" s="213"/>
      <c r="R51" s="204"/>
      <c r="S51" s="739"/>
      <c r="T51" s="104" t="s">
        <v>485</v>
      </c>
      <c r="U51" s="210"/>
      <c r="V51" s="210"/>
      <c r="W51" s="210"/>
      <c r="X51" s="210"/>
      <c r="Y51" s="210"/>
      <c r="Z51" s="210"/>
      <c r="AA51" s="210"/>
      <c r="AB51" s="210"/>
      <c r="AC51" s="210"/>
      <c r="AD51" s="210"/>
      <c r="AE51" s="210"/>
      <c r="AF51" s="209"/>
      <c r="AG51" s="210"/>
      <c r="AH51" s="210"/>
      <c r="AI51" s="210"/>
      <c r="AJ51" s="210"/>
      <c r="AK51" s="210"/>
      <c r="AL51" s="210"/>
      <c r="AM51" s="210"/>
      <c r="AN51" s="210"/>
      <c r="AO51" s="210"/>
      <c r="AP51" s="210"/>
      <c r="AQ51" s="209"/>
      <c r="AR51" s="210"/>
      <c r="AS51" s="171"/>
      <c r="AU51" s="66"/>
      <c r="AV51" s="66" t="str">
        <f t="shared" si="1"/>
        <v>Добавить наименование признака дифференциации</v>
      </c>
      <c r="AW51" s="66"/>
      <c r="AX51" s="66"/>
      <c r="AY51" s="10">
        <v>21</v>
      </c>
    </row>
    <row r="52" spans="1:51" s="65" customFormat="1" ht="0" hidden="1" customHeight="1">
      <c r="A52" s="142" t="s">
        <v>256</v>
      </c>
      <c r="B52" s="142" t="s">
        <v>257</v>
      </c>
      <c r="C52" s="142"/>
      <c r="D52" s="142"/>
      <c r="E52" s="1284"/>
      <c r="F52" s="1283"/>
      <c r="G52" s="142"/>
      <c r="H52" s="142"/>
      <c r="I52" s="142"/>
      <c r="J52" s="142"/>
      <c r="K52" s="142"/>
      <c r="L52" s="343"/>
      <c r="M52" s="756"/>
      <c r="N52" s="756"/>
      <c r="P52" s="101"/>
      <c r="Q52" s="752"/>
      <c r="R52" s="101"/>
      <c r="S52" s="757"/>
      <c r="T52" s="759" t="s">
        <v>231</v>
      </c>
      <c r="U52" s="310"/>
      <c r="V52" s="310"/>
      <c r="W52" s="310"/>
      <c r="X52" s="310"/>
      <c r="Y52" s="310"/>
      <c r="Z52" s="310"/>
      <c r="AA52" s="310"/>
      <c r="AB52" s="310"/>
      <c r="AC52" s="310"/>
      <c r="AD52" s="310"/>
      <c r="AE52" s="310"/>
      <c r="AF52" s="310"/>
      <c r="AG52" s="310"/>
      <c r="AH52" s="310"/>
      <c r="AI52" s="310"/>
      <c r="AJ52" s="310"/>
      <c r="AK52" s="310"/>
      <c r="AL52" s="310"/>
      <c r="AM52" s="310"/>
      <c r="AN52" s="310"/>
      <c r="AO52" s="310"/>
      <c r="AP52" s="310"/>
      <c r="AQ52" s="310"/>
      <c r="AR52" s="310"/>
      <c r="AS52" s="310"/>
      <c r="AU52" s="66"/>
      <c r="AV52" s="66" t="str">
        <f t="shared" si="1"/>
        <v>Добавить централизованную систему для дифференциации</v>
      </c>
      <c r="AW52" s="66"/>
      <c r="AX52" s="66"/>
      <c r="AY52" s="65">
        <v>0</v>
      </c>
    </row>
    <row r="53" spans="1:51" s="65" customFormat="1" ht="0" hidden="1" customHeight="1">
      <c r="A53" s="142" t="s">
        <v>256</v>
      </c>
      <c r="B53" s="142"/>
      <c r="C53" s="142"/>
      <c r="D53" s="142"/>
      <c r="E53" s="1283"/>
      <c r="F53" s="142"/>
      <c r="G53" s="142"/>
      <c r="H53" s="142"/>
      <c r="I53" s="142"/>
      <c r="J53" s="142"/>
      <c r="K53" s="142"/>
      <c r="L53" s="343"/>
      <c r="M53" s="756"/>
      <c r="N53" s="756"/>
      <c r="P53" s="101"/>
      <c r="Q53" s="752"/>
      <c r="R53" s="101"/>
      <c r="S53" s="757"/>
      <c r="T53" s="759" t="s">
        <v>232</v>
      </c>
      <c r="U53" s="310"/>
      <c r="V53" s="310"/>
      <c r="W53" s="310"/>
      <c r="X53" s="310"/>
      <c r="Y53" s="310"/>
      <c r="Z53" s="310"/>
      <c r="AA53" s="310"/>
      <c r="AB53" s="310"/>
      <c r="AC53" s="310"/>
      <c r="AD53" s="310"/>
      <c r="AE53" s="310"/>
      <c r="AF53" s="310"/>
      <c r="AG53" s="310"/>
      <c r="AH53" s="310"/>
      <c r="AI53" s="310"/>
      <c r="AJ53" s="310"/>
      <c r="AK53" s="310"/>
      <c r="AL53" s="310"/>
      <c r="AM53" s="310"/>
      <c r="AN53" s="310"/>
      <c r="AO53" s="310"/>
      <c r="AP53" s="310"/>
      <c r="AQ53" s="310"/>
      <c r="AR53" s="310"/>
      <c r="AS53" s="310"/>
      <c r="AU53" s="66"/>
      <c r="AV53" s="66" t="str">
        <f t="shared" si="1"/>
        <v>Добавить территорию для дифференциации</v>
      </c>
      <c r="AW53" s="66"/>
      <c r="AX53" s="66"/>
      <c r="AY53" s="65">
        <v>0</v>
      </c>
    </row>
    <row r="54" spans="1:51" s="65" customFormat="1" ht="0" hidden="1" customHeight="1">
      <c r="A54" s="142"/>
      <c r="B54" s="142"/>
      <c r="C54" s="142"/>
      <c r="D54" s="142"/>
      <c r="E54" s="142"/>
      <c r="F54" s="142"/>
      <c r="G54" s="142"/>
      <c r="H54" s="142"/>
      <c r="I54" s="142"/>
      <c r="J54" s="142"/>
      <c r="K54" s="142"/>
      <c r="L54" s="343"/>
      <c r="M54" s="756"/>
      <c r="N54" s="756"/>
      <c r="P54" s="101"/>
      <c r="Q54" s="752"/>
      <c r="R54" s="101"/>
      <c r="S54" s="757"/>
      <c r="T54" s="759" t="s">
        <v>233</v>
      </c>
      <c r="U54" s="310"/>
      <c r="V54" s="310"/>
      <c r="W54" s="310"/>
      <c r="X54" s="310"/>
      <c r="Y54" s="310"/>
      <c r="Z54" s="310"/>
      <c r="AA54" s="310"/>
      <c r="AB54" s="310"/>
      <c r="AC54" s="310"/>
      <c r="AD54" s="310"/>
      <c r="AE54" s="310"/>
      <c r="AF54" s="310"/>
      <c r="AG54" s="310"/>
      <c r="AH54" s="310"/>
      <c r="AI54" s="310"/>
      <c r="AJ54" s="310"/>
      <c r="AK54" s="310"/>
      <c r="AL54" s="310"/>
      <c r="AM54" s="310"/>
      <c r="AN54" s="310"/>
      <c r="AO54" s="310"/>
      <c r="AP54" s="310"/>
      <c r="AQ54" s="310"/>
      <c r="AR54" s="310"/>
      <c r="AS54" s="310"/>
      <c r="AU54" s="66"/>
      <c r="AV54" s="66" t="str">
        <f t="shared" si="1"/>
        <v>Добавить наименование тарифа</v>
      </c>
      <c r="AW54" s="66"/>
      <c r="AX54" s="66"/>
      <c r="AY54" s="65">
        <v>0</v>
      </c>
    </row>
    <row r="55" spans="1:51" ht="11.45" customHeight="1">
      <c r="M55" s="60"/>
      <c r="N55" s="60"/>
      <c r="O55" s="60"/>
      <c r="P55" s="10"/>
      <c r="Q55" s="10"/>
      <c r="R55" s="10"/>
      <c r="S55" s="10"/>
      <c r="AT55" s="10"/>
      <c r="AU55" s="10"/>
      <c r="AV55" s="10"/>
      <c r="AW55" s="10"/>
      <c r="AX55" s="10"/>
      <c r="AY55" s="10">
        <v>11</v>
      </c>
    </row>
    <row r="56" spans="1:51" ht="14.65" customHeight="1">
      <c r="O56" s="60"/>
      <c r="S56" s="195"/>
      <c r="T56" s="1282"/>
      <c r="U56" s="1282"/>
      <c r="V56" s="1282"/>
      <c r="W56" s="1282"/>
      <c r="X56" s="1282"/>
      <c r="Y56" s="1282"/>
      <c r="Z56" s="1282"/>
      <c r="AA56" s="1282"/>
      <c r="AB56" s="1282"/>
      <c r="AC56" s="1282"/>
      <c r="AD56" s="1282"/>
      <c r="AE56" s="1282"/>
      <c r="AF56" s="1282"/>
      <c r="AG56" s="1282"/>
      <c r="AH56" s="1282"/>
      <c r="AI56" s="1282"/>
      <c r="AJ56" s="1282"/>
      <c r="AK56" s="1282"/>
      <c r="AL56" s="1282"/>
      <c r="AM56" s="1282"/>
      <c r="AN56" s="1282"/>
      <c r="AO56" s="1282"/>
      <c r="AP56" s="1282"/>
      <c r="AQ56" s="1282"/>
      <c r="AR56" s="1282"/>
      <c r="AS56" s="1282"/>
      <c r="AY56" s="10">
        <v>14</v>
      </c>
    </row>
    <row r="57" spans="1:51" ht="14.65" customHeight="1">
      <c r="O57" s="60"/>
      <c r="AY57" s="10">
        <v>14</v>
      </c>
    </row>
    <row r="58" spans="1:51" ht="14.65" customHeight="1">
      <c r="O58" s="60"/>
      <c r="S58" s="195"/>
      <c r="T58" s="1282"/>
      <c r="U58" s="1282"/>
      <c r="V58" s="1282"/>
      <c r="W58" s="1282"/>
      <c r="X58" s="1282"/>
      <c r="Y58" s="1282"/>
      <c r="Z58" s="1282"/>
      <c r="AA58" s="1282"/>
      <c r="AB58" s="1282"/>
      <c r="AC58" s="1282"/>
      <c r="AD58" s="1282"/>
      <c r="AE58" s="1282"/>
      <c r="AF58" s="1282"/>
      <c r="AG58" s="1282"/>
      <c r="AH58" s="1282"/>
      <c r="AI58" s="1282"/>
      <c r="AJ58" s="1282"/>
      <c r="AK58" s="1282"/>
      <c r="AL58" s="1282"/>
      <c r="AM58" s="1282"/>
      <c r="AN58" s="1282"/>
      <c r="AO58" s="1282"/>
      <c r="AP58" s="1282"/>
      <c r="AQ58" s="1282"/>
      <c r="AR58" s="1282"/>
      <c r="AS58" s="1282"/>
      <c r="AY58" s="10">
        <v>14</v>
      </c>
    </row>
    <row r="59" spans="1:51" ht="22.5" hidden="1" customHeight="1">
      <c r="A59" s="60" t="s">
        <v>80</v>
      </c>
      <c r="B59" s="60">
        <v>0</v>
      </c>
      <c r="C59" s="60">
        <v>0</v>
      </c>
      <c r="D59" s="60">
        <v>0</v>
      </c>
      <c r="E59" s="60">
        <v>0</v>
      </c>
      <c r="F59" s="60">
        <v>0</v>
      </c>
      <c r="G59" s="60">
        <v>0</v>
      </c>
      <c r="H59" s="60">
        <v>0</v>
      </c>
      <c r="I59" s="60">
        <v>0</v>
      </c>
      <c r="J59" s="60">
        <v>0</v>
      </c>
      <c r="K59" s="60">
        <v>0</v>
      </c>
      <c r="L59" s="298">
        <v>0</v>
      </c>
      <c r="M59" s="503">
        <v>0</v>
      </c>
      <c r="N59" s="503">
        <v>0</v>
      </c>
      <c r="O59" s="503">
        <v>0</v>
      </c>
      <c r="P59" s="32">
        <v>3</v>
      </c>
      <c r="Q59" s="28">
        <v>3</v>
      </c>
      <c r="R59" s="28">
        <v>3</v>
      </c>
      <c r="S59" s="339">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5">
        <v>10</v>
      </c>
      <c r="AU59" s="65">
        <v>10</v>
      </c>
      <c r="AV59" s="65">
        <v>10</v>
      </c>
      <c r="AW59" s="65">
        <v>10</v>
      </c>
      <c r="AX59" s="65">
        <v>10</v>
      </c>
      <c r="AY59" s="1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8" hidden="1" customWidth="1"/>
    <col min="13" max="14" width="12.28515625" style="503" hidden="1" customWidth="1"/>
    <col min="15" max="15" width="23.42578125" style="503" hidden="1" customWidth="1"/>
    <col min="16" max="16" width="3.7109375" style="503" hidden="1" customWidth="1"/>
    <col min="17" max="17" width="3.7109375" style="769" hidden="1" customWidth="1"/>
    <col min="18" max="18" width="3" style="28" customWidth="1"/>
    <col min="19" max="19" width="12" style="339"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5" customWidth="1"/>
    <col min="61" max="61" width="10.5703125" style="10" hidden="1"/>
  </cols>
  <sheetData>
    <row r="1" spans="1:61" ht="22.5" hidden="1" customHeight="1">
      <c r="BI1" s="10" t="s">
        <v>14</v>
      </c>
    </row>
    <row r="2" spans="1:61" ht="21" hidden="1" customHeight="1">
      <c r="A2" s="766"/>
      <c r="B2" s="766"/>
      <c r="C2" s="766"/>
      <c r="D2" s="766"/>
      <c r="E2" s="1283">
        <v>1</v>
      </c>
      <c r="F2" s="766"/>
      <c r="G2" s="766"/>
      <c r="H2" s="766"/>
      <c r="I2" s="766"/>
      <c r="J2" s="766"/>
      <c r="K2" s="766"/>
      <c r="L2" s="767"/>
      <c r="M2" s="423"/>
      <c r="N2" s="423"/>
      <c r="O2" s="423"/>
      <c r="Q2" s="59"/>
      <c r="R2" s="204"/>
      <c r="S2" s="706" t="e">
        <f>INDEX(PT_DIFFERENTIATION_NUM_NTAR,MATCH(A2,PT_DIFFERENTIATION_NTAR_ID,0))</f>
        <v>#N/A</v>
      </c>
      <c r="T2" s="64" t="s">
        <v>121</v>
      </c>
      <c r="U2" s="168"/>
      <c r="V2" s="1278"/>
      <c r="W2" s="1278"/>
      <c r="X2" s="1278"/>
      <c r="Y2" s="1278"/>
      <c r="Z2" s="1278"/>
      <c r="AA2" s="1278"/>
      <c r="AB2" s="1278"/>
      <c r="AC2" s="1279"/>
      <c r="AD2" s="1277" t="e">
        <f>INDEX(PT_DIFFERENTIATION_NTAR,MATCH(A2,PT_DIFFERENTIATION_NTAR_ID,0))</f>
        <v>#N/A</v>
      </c>
      <c r="AE2" s="1278"/>
      <c r="AF2" s="1278"/>
      <c r="AG2" s="1278"/>
      <c r="AH2" s="1278"/>
      <c r="AI2" s="1278"/>
      <c r="AJ2" s="1278"/>
      <c r="AK2" s="1278"/>
      <c r="AL2" s="1278"/>
      <c r="AM2" s="1278"/>
      <c r="AN2" s="1278"/>
      <c r="AO2" s="1278"/>
      <c r="AP2" s="1278"/>
      <c r="AQ2" s="1278"/>
      <c r="AR2" s="1278"/>
      <c r="AS2" s="1278"/>
      <c r="AT2" s="1278"/>
      <c r="AU2" s="1278"/>
      <c r="AV2" s="1278"/>
      <c r="AW2" s="1278"/>
      <c r="AX2" s="1278"/>
      <c r="AY2" s="1278"/>
      <c r="AZ2" s="1278"/>
      <c r="BA2" s="1278"/>
      <c r="BB2" s="1279"/>
      <c r="BC2"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c r="BI2" s="10">
        <v>0</v>
      </c>
    </row>
    <row r="3" spans="1:61" ht="21" hidden="1" customHeight="1">
      <c r="A3" s="766"/>
      <c r="B3" s="766"/>
      <c r="C3" s="766"/>
      <c r="D3" s="766"/>
      <c r="E3" s="1284"/>
      <c r="F3" s="1283">
        <v>1</v>
      </c>
      <c r="G3" s="766"/>
      <c r="H3" s="766"/>
      <c r="I3" s="766"/>
      <c r="J3" s="766"/>
      <c r="K3" s="766"/>
      <c r="L3" s="767"/>
      <c r="M3" s="423"/>
      <c r="N3" s="423"/>
      <c r="O3" s="423"/>
      <c r="P3" s="298"/>
      <c r="Q3" s="799"/>
      <c r="R3" s="202"/>
      <c r="S3" s="706" t="e">
        <f>INDEX(PT_DIFFERENTIATION_NUM_TER,MATCH(B3,PT_DIFFERENTIATION_TER_ID,0))</f>
        <v>#N/A</v>
      </c>
      <c r="T3" s="174" t="s">
        <v>397</v>
      </c>
      <c r="U3" s="168"/>
      <c r="V3" s="1278"/>
      <c r="W3" s="1278"/>
      <c r="X3" s="1278"/>
      <c r="Y3" s="1278"/>
      <c r="Z3" s="1278"/>
      <c r="AA3" s="1278"/>
      <c r="AB3" s="1278"/>
      <c r="AC3" s="1279"/>
      <c r="AD3" s="1277" t="e">
        <f>INDEX(PT_DIFFERENTIATION_TER,MATCH(B3,PT_DIFFERENTIATION_TER_ID,0))</f>
        <v>#N/A</v>
      </c>
      <c r="AE3" s="1278"/>
      <c r="AF3" s="1278"/>
      <c r="AG3" s="1278"/>
      <c r="AH3" s="1278"/>
      <c r="AI3" s="1278"/>
      <c r="AJ3" s="1278"/>
      <c r="AK3" s="1278"/>
      <c r="AL3" s="1278"/>
      <c r="AM3" s="1278"/>
      <c r="AN3" s="1278"/>
      <c r="AO3" s="1278"/>
      <c r="AP3" s="1278"/>
      <c r="AQ3" s="1278"/>
      <c r="AR3" s="1278"/>
      <c r="AS3" s="1278"/>
      <c r="AT3" s="1278"/>
      <c r="AU3" s="1278"/>
      <c r="AV3" s="1278"/>
      <c r="AW3" s="1278"/>
      <c r="AX3" s="1278"/>
      <c r="AY3" s="1278"/>
      <c r="AZ3" s="1278"/>
      <c r="BA3" s="1278"/>
      <c r="BB3" s="1279"/>
      <c r="BC3" s="726" t="s">
        <v>398</v>
      </c>
      <c r="BE3" s="66"/>
      <c r="BF3" s="66" t="str">
        <f t="shared" si="0"/>
        <v>Территория действия тарифа</v>
      </c>
      <c r="BG3" s="66"/>
      <c r="BH3" s="66"/>
      <c r="BI3" s="10">
        <v>0</v>
      </c>
    </row>
    <row r="4" spans="1:61" ht="33.75" hidden="1" customHeight="1">
      <c r="A4" s="766"/>
      <c r="B4" s="766"/>
      <c r="C4" s="766"/>
      <c r="D4" s="766"/>
      <c r="E4" s="1284"/>
      <c r="F4" s="1284"/>
      <c r="G4" s="1283">
        <v>1</v>
      </c>
      <c r="H4" s="766"/>
      <c r="I4" s="766"/>
      <c r="J4" s="766"/>
      <c r="K4" s="766"/>
      <c r="L4" s="767"/>
      <c r="M4" s="423"/>
      <c r="N4" s="423"/>
      <c r="O4" s="423"/>
      <c r="P4" s="128"/>
      <c r="Q4" s="799"/>
      <c r="R4" s="202"/>
      <c r="S4" s="706" t="e">
        <f>INDEX(PT_DIFFERENTIATION_NUM_CS,MATCH(C4,PT_DIFFERENTIATION_CS_ID,0))</f>
        <v>#N/A</v>
      </c>
      <c r="T4" s="175" t="s">
        <v>529</v>
      </c>
      <c r="U4" s="168"/>
      <c r="V4" s="1278"/>
      <c r="W4" s="1278"/>
      <c r="X4" s="1278"/>
      <c r="Y4" s="1278"/>
      <c r="Z4" s="1278"/>
      <c r="AA4" s="1278"/>
      <c r="AB4" s="1278"/>
      <c r="AC4" s="1279"/>
      <c r="AD4" s="1277" t="e">
        <f>INDEX(PT_DIFFERENTIATION_CS,MATCH(C4,PT_DIFFERENTIATION_CS_ID,0))</f>
        <v>#N/A</v>
      </c>
      <c r="AE4" s="1278"/>
      <c r="AF4" s="1278"/>
      <c r="AG4" s="1278"/>
      <c r="AH4" s="1278"/>
      <c r="AI4" s="1278"/>
      <c r="AJ4" s="1278"/>
      <c r="AK4" s="1278"/>
      <c r="AL4" s="1278"/>
      <c r="AM4" s="1278"/>
      <c r="AN4" s="1278"/>
      <c r="AO4" s="1278"/>
      <c r="AP4" s="1278"/>
      <c r="AQ4" s="1278"/>
      <c r="AR4" s="1278"/>
      <c r="AS4" s="1278"/>
      <c r="AT4" s="1278"/>
      <c r="AU4" s="1278"/>
      <c r="AV4" s="1278"/>
      <c r="AW4" s="1278"/>
      <c r="AX4" s="1278"/>
      <c r="AY4" s="1278"/>
      <c r="AZ4" s="1278"/>
      <c r="BA4" s="1278"/>
      <c r="BB4" s="1279"/>
      <c r="BC4" s="726" t="s">
        <v>530</v>
      </c>
      <c r="BE4" s="66"/>
      <c r="BF4" s="66" t="str">
        <f t="shared" si="0"/>
        <v>Наименование централизованной системы горячего водоснабжения</v>
      </c>
      <c r="BG4" s="66"/>
      <c r="BH4" s="66"/>
      <c r="BI4" s="10">
        <v>0</v>
      </c>
    </row>
    <row r="5" spans="1:61" s="65" customFormat="1" ht="14.25" hidden="1" customHeight="1">
      <c r="A5" s="142"/>
      <c r="B5" s="142"/>
      <c r="C5" s="142"/>
      <c r="D5" s="142"/>
      <c r="E5" s="1284"/>
      <c r="F5" s="1284"/>
      <c r="G5" s="1284"/>
      <c r="H5" s="1283">
        <v>1</v>
      </c>
      <c r="I5" s="142"/>
      <c r="J5" s="142"/>
      <c r="K5" s="142"/>
      <c r="L5" s="343"/>
      <c r="M5" s="290"/>
      <c r="N5" s="290"/>
      <c r="O5" s="290"/>
      <c r="P5" s="818"/>
      <c r="Q5" s="819"/>
      <c r="R5" s="206"/>
      <c r="S5" s="359"/>
      <c r="T5" s="820"/>
      <c r="U5" s="777"/>
      <c r="V5" s="1315"/>
      <c r="W5" s="1315"/>
      <c r="X5" s="1315"/>
      <c r="Y5" s="1315"/>
      <c r="Z5" s="1315"/>
      <c r="AA5" s="1315"/>
      <c r="AB5" s="1315"/>
      <c r="AC5" s="1316"/>
      <c r="AD5" s="1314"/>
      <c r="AE5" s="1315"/>
      <c r="AF5" s="1315"/>
      <c r="AG5" s="1315"/>
      <c r="AH5" s="1315"/>
      <c r="AI5" s="1315"/>
      <c r="AJ5" s="1315"/>
      <c r="AK5" s="1315"/>
      <c r="AL5" s="1315"/>
      <c r="AM5" s="1315"/>
      <c r="AN5" s="1315"/>
      <c r="AO5" s="1315"/>
      <c r="AP5" s="1315"/>
      <c r="AQ5" s="1315"/>
      <c r="AR5" s="1315"/>
      <c r="AS5" s="1315"/>
      <c r="AT5" s="1315"/>
      <c r="AU5" s="1315"/>
      <c r="AV5" s="1315"/>
      <c r="AW5" s="1315"/>
      <c r="AX5" s="1315"/>
      <c r="AY5" s="1315"/>
      <c r="AZ5" s="1315"/>
      <c r="BA5" s="1315"/>
      <c r="BB5" s="1316"/>
      <c r="BC5" s="778" t="s">
        <v>402</v>
      </c>
      <c r="BE5" s="66"/>
      <c r="BF5" s="66" t="str">
        <f t="shared" si="0"/>
        <v/>
      </c>
      <c r="BG5" s="66"/>
      <c r="BH5" s="66"/>
      <c r="BI5" s="65">
        <v>0</v>
      </c>
    </row>
    <row r="6" spans="1:61" s="65" customFormat="1" ht="14.25" hidden="1" customHeight="1">
      <c r="A6" s="142"/>
      <c r="B6" s="142"/>
      <c r="C6" s="142"/>
      <c r="D6" s="142"/>
      <c r="E6" s="1284"/>
      <c r="F6" s="1284"/>
      <c r="G6" s="1284"/>
      <c r="H6" s="1284"/>
      <c r="I6" s="1285" t="str">
        <f>S5&amp;".1"</f>
        <v>.1</v>
      </c>
      <c r="J6" s="142"/>
      <c r="K6" s="142"/>
      <c r="L6" s="343" t="s">
        <v>403</v>
      </c>
      <c r="M6" s="287"/>
      <c r="N6" s="287"/>
      <c r="O6" s="287"/>
      <c r="P6" s="1287">
        <v>1</v>
      </c>
      <c r="Q6" s="119"/>
      <c r="R6" s="205"/>
      <c r="S6" s="359"/>
      <c r="T6" s="776"/>
      <c r="U6" s="777"/>
      <c r="V6" s="1315"/>
      <c r="W6" s="1315"/>
      <c r="X6" s="1315"/>
      <c r="Y6" s="1315"/>
      <c r="Z6" s="1315"/>
      <c r="AA6" s="1315"/>
      <c r="AB6" s="1315"/>
      <c r="AC6" s="1316"/>
      <c r="AD6" s="1314"/>
      <c r="AE6" s="1315"/>
      <c r="AF6" s="1315"/>
      <c r="AG6" s="1315"/>
      <c r="AH6" s="1315"/>
      <c r="AI6" s="1315"/>
      <c r="AJ6" s="1315"/>
      <c r="AK6" s="1315"/>
      <c r="AL6" s="1315"/>
      <c r="AM6" s="1315"/>
      <c r="AN6" s="1315"/>
      <c r="AO6" s="1315"/>
      <c r="AP6" s="1315"/>
      <c r="AQ6" s="1315"/>
      <c r="AR6" s="1315"/>
      <c r="AS6" s="1315"/>
      <c r="AT6" s="1315"/>
      <c r="AU6" s="1315"/>
      <c r="AV6" s="1315"/>
      <c r="AW6" s="1315"/>
      <c r="AX6" s="1315"/>
      <c r="AY6" s="1315"/>
      <c r="AZ6" s="1315"/>
      <c r="BA6" s="1315"/>
      <c r="BB6" s="1316"/>
      <c r="BC6" s="778"/>
      <c r="BE6" s="66"/>
      <c r="BF6" s="66" t="str">
        <f t="shared" si="0"/>
        <v/>
      </c>
      <c r="BG6" s="66"/>
      <c r="BH6" s="66"/>
      <c r="BI6" s="65">
        <v>0</v>
      </c>
    </row>
    <row r="7" spans="1:61" s="65" customFormat="1" ht="14.25" hidden="1" customHeight="1">
      <c r="A7" s="142"/>
      <c r="B7" s="142"/>
      <c r="C7" s="142"/>
      <c r="D7" s="142"/>
      <c r="E7" s="1284"/>
      <c r="F7" s="1284"/>
      <c r="G7" s="1284"/>
      <c r="H7" s="1284"/>
      <c r="I7" s="1286"/>
      <c r="J7" s="1285" t="str">
        <f>S5&amp;".1"</f>
        <v>.1</v>
      </c>
      <c r="K7" s="142"/>
      <c r="L7" s="343"/>
      <c r="M7" s="287"/>
      <c r="N7" s="287"/>
      <c r="O7" s="287"/>
      <c r="P7" s="1287"/>
      <c r="Q7" s="1287">
        <v>1</v>
      </c>
      <c r="R7" s="206"/>
      <c r="S7" s="359"/>
      <c r="T7" s="791"/>
      <c r="U7" s="777"/>
      <c r="V7" s="1315"/>
      <c r="W7" s="1315"/>
      <c r="X7" s="1315"/>
      <c r="Y7" s="1315"/>
      <c r="Z7" s="1315"/>
      <c r="AA7" s="1315"/>
      <c r="AB7" s="1315"/>
      <c r="AC7" s="1316"/>
      <c r="AD7" s="1314"/>
      <c r="AE7" s="1315"/>
      <c r="AF7" s="1315"/>
      <c r="AG7" s="1315"/>
      <c r="AH7" s="1315"/>
      <c r="AI7" s="1315"/>
      <c r="AJ7" s="1315"/>
      <c r="AK7" s="1315"/>
      <c r="AL7" s="1315"/>
      <c r="AM7" s="1315"/>
      <c r="AN7" s="1315"/>
      <c r="AO7" s="1315"/>
      <c r="AP7" s="1315"/>
      <c r="AQ7" s="1315"/>
      <c r="AR7" s="1315"/>
      <c r="AS7" s="1315"/>
      <c r="AT7" s="1315"/>
      <c r="AU7" s="1315"/>
      <c r="AV7" s="1315"/>
      <c r="AW7" s="1315"/>
      <c r="AX7" s="1315"/>
      <c r="AY7" s="1315"/>
      <c r="AZ7" s="1315"/>
      <c r="BA7" s="1315"/>
      <c r="BB7" s="1316"/>
      <c r="BC7" s="778"/>
      <c r="BE7" s="66"/>
      <c r="BF7" s="66" t="str">
        <f t="shared" si="0"/>
        <v/>
      </c>
      <c r="BG7" s="66"/>
      <c r="BH7" s="66"/>
      <c r="BI7" s="65">
        <v>0</v>
      </c>
    </row>
    <row r="8" spans="1:61" ht="11.25" hidden="1" customHeight="1">
      <c r="A8" s="766"/>
      <c r="B8" s="766"/>
      <c r="C8" s="766"/>
      <c r="D8" s="766"/>
      <c r="E8" s="1284"/>
      <c r="F8" s="1284"/>
      <c r="G8" s="1284"/>
      <c r="H8" s="1284"/>
      <c r="I8" s="1286"/>
      <c r="J8" s="1286"/>
      <c r="K8" s="1285" t="e">
        <f>S4&amp;".1"</f>
        <v>#N/A</v>
      </c>
      <c r="L8" s="767"/>
      <c r="P8" s="1287"/>
      <c r="Q8" s="1287"/>
      <c r="R8" s="1343">
        <v>1</v>
      </c>
      <c r="S8" s="1340" t="e">
        <f>$K8</f>
        <v>#N/A</v>
      </c>
      <c r="T8" s="1360"/>
      <c r="U8" s="168"/>
      <c r="V8" s="303"/>
      <c r="W8" s="725"/>
      <c r="X8" s="303"/>
      <c r="Y8" s="725"/>
      <c r="Z8" s="942"/>
      <c r="AA8" s="294" t="s">
        <v>64</v>
      </c>
      <c r="AB8" s="942"/>
      <c r="AC8" s="294" t="s">
        <v>64</v>
      </c>
      <c r="AD8" s="1212" t="s">
        <v>64</v>
      </c>
      <c r="AE8" s="1336"/>
      <c r="AF8" s="1240">
        <v>1</v>
      </c>
      <c r="AG8" s="1359"/>
      <c r="AH8" s="1156" t="s">
        <v>64</v>
      </c>
      <c r="AI8" s="1336"/>
      <c r="AJ8" s="1240">
        <v>1</v>
      </c>
      <c r="AK8" s="1350" t="s">
        <v>28</v>
      </c>
      <c r="AL8" s="1156" t="s">
        <v>64</v>
      </c>
      <c r="AM8" s="1217"/>
      <c r="AN8" s="1240">
        <v>1</v>
      </c>
      <c r="AO8" s="1363"/>
      <c r="AP8" s="1364" t="s">
        <v>64</v>
      </c>
      <c r="AQ8" s="177"/>
      <c r="AR8" s="265">
        <v>1</v>
      </c>
      <c r="AS8" s="116" t="s">
        <v>28</v>
      </c>
      <c r="AT8" s="303"/>
      <c r="AU8" s="725"/>
      <c r="AV8" s="303"/>
      <c r="AW8" s="725"/>
      <c r="AX8" s="942"/>
      <c r="AY8" s="294" t="s">
        <v>64</v>
      </c>
      <c r="AZ8" s="942"/>
      <c r="BA8" s="294" t="s">
        <v>64</v>
      </c>
      <c r="BB8" s="763"/>
      <c r="BC8" s="1306" t="s">
        <v>500</v>
      </c>
      <c r="BE8" s="66"/>
      <c r="BF8" s="66" t="str">
        <f t="shared" si="0"/>
        <v/>
      </c>
      <c r="BG8" s="66"/>
      <c r="BH8" s="66"/>
      <c r="BI8" s="10">
        <v>0</v>
      </c>
    </row>
    <row r="9" spans="1:61" ht="11.25" hidden="1" customHeight="1">
      <c r="A9" s="766"/>
      <c r="B9" s="766"/>
      <c r="C9" s="766"/>
      <c r="D9" s="766"/>
      <c r="E9" s="1284"/>
      <c r="F9" s="1284"/>
      <c r="G9" s="1284"/>
      <c r="H9" s="1284"/>
      <c r="I9" s="1286"/>
      <c r="J9" s="1286"/>
      <c r="K9" s="1285"/>
      <c r="L9" s="767"/>
      <c r="P9" s="1287"/>
      <c r="Q9" s="1287"/>
      <c r="R9" s="1343"/>
      <c r="S9" s="1341"/>
      <c r="T9" s="1361"/>
      <c r="U9" s="168"/>
      <c r="V9" s="786"/>
      <c r="W9" s="817"/>
      <c r="X9" s="786"/>
      <c r="Y9" s="817"/>
      <c r="Z9" s="786"/>
      <c r="AA9" s="786"/>
      <c r="AB9" s="786"/>
      <c r="AC9" s="786"/>
      <c r="AD9" s="1213"/>
      <c r="AE9" s="1336"/>
      <c r="AF9" s="1240"/>
      <c r="AG9" s="1359"/>
      <c r="AH9" s="1156"/>
      <c r="AI9" s="1336"/>
      <c r="AJ9" s="1240"/>
      <c r="AK9" s="1350"/>
      <c r="AL9" s="1156"/>
      <c r="AM9" s="1222"/>
      <c r="AN9" s="1240"/>
      <c r="AO9" s="1363"/>
      <c r="AP9" s="1365"/>
      <c r="AQ9" s="181"/>
      <c r="AR9" s="51"/>
      <c r="AS9" s="51" t="s">
        <v>501</v>
      </c>
      <c r="AT9" s="786"/>
      <c r="AU9" s="817"/>
      <c r="AV9" s="786"/>
      <c r="AW9" s="817"/>
      <c r="AX9" s="786"/>
      <c r="AY9" s="786"/>
      <c r="AZ9" s="786"/>
      <c r="BA9" s="786"/>
      <c r="BB9" s="790"/>
      <c r="BC9" s="1307"/>
      <c r="BE9" s="66"/>
      <c r="BF9" s="66"/>
      <c r="BG9" s="66"/>
      <c r="BH9" s="66"/>
      <c r="BI9" s="10">
        <v>0</v>
      </c>
    </row>
    <row r="10" spans="1:61" ht="11.25" hidden="1" customHeight="1">
      <c r="A10" s="766"/>
      <c r="B10" s="766"/>
      <c r="C10" s="766"/>
      <c r="D10" s="766"/>
      <c r="E10" s="1284"/>
      <c r="F10" s="1284"/>
      <c r="G10" s="1284"/>
      <c r="H10" s="1284"/>
      <c r="I10" s="1286"/>
      <c r="J10" s="1286"/>
      <c r="K10" s="1285"/>
      <c r="L10" s="767"/>
      <c r="P10" s="1287"/>
      <c r="Q10" s="1287"/>
      <c r="R10" s="1343"/>
      <c r="S10" s="1341"/>
      <c r="T10" s="1361"/>
      <c r="U10" s="168"/>
      <c r="V10" s="786"/>
      <c r="W10" s="817"/>
      <c r="X10" s="786"/>
      <c r="Y10" s="817"/>
      <c r="Z10" s="786"/>
      <c r="AA10" s="786"/>
      <c r="AB10" s="786"/>
      <c r="AC10" s="786"/>
      <c r="AD10" s="1213"/>
      <c r="AE10" s="1336"/>
      <c r="AF10" s="1240"/>
      <c r="AG10" s="1359"/>
      <c r="AH10" s="1156"/>
      <c r="AI10" s="1336"/>
      <c r="AJ10" s="1240"/>
      <c r="AK10" s="1350"/>
      <c r="AL10" s="1156"/>
      <c r="AM10" s="181"/>
      <c r="AN10" s="821"/>
      <c r="AO10" s="821" t="s">
        <v>502</v>
      </c>
      <c r="AP10" s="51"/>
      <c r="AQ10" s="51"/>
      <c r="AR10" s="51"/>
      <c r="AS10" s="786"/>
      <c r="AT10" s="786"/>
      <c r="AU10" s="817"/>
      <c r="AV10" s="786"/>
      <c r="AW10" s="817"/>
      <c r="AX10" s="786"/>
      <c r="AY10" s="786"/>
      <c r="AZ10" s="786"/>
      <c r="BA10" s="786"/>
      <c r="BB10" s="790"/>
      <c r="BC10" s="1307"/>
      <c r="BE10" s="66"/>
      <c r="BF10" s="66"/>
      <c r="BG10" s="66"/>
      <c r="BH10" s="66"/>
      <c r="BI10" s="10">
        <v>0</v>
      </c>
    </row>
    <row r="11" spans="1:61" ht="11.25" hidden="1" customHeight="1">
      <c r="A11" s="766"/>
      <c r="B11" s="766"/>
      <c r="C11" s="766"/>
      <c r="D11" s="766"/>
      <c r="E11" s="1284"/>
      <c r="F11" s="1284"/>
      <c r="G11" s="1284"/>
      <c r="H11" s="1284"/>
      <c r="I11" s="1286"/>
      <c r="J11" s="1286"/>
      <c r="K11" s="1285"/>
      <c r="L11" s="767"/>
      <c r="P11" s="1287"/>
      <c r="Q11" s="1287"/>
      <c r="R11" s="1343"/>
      <c r="S11" s="1341"/>
      <c r="T11" s="1361"/>
      <c r="U11" s="168"/>
      <c r="V11" s="786"/>
      <c r="W11" s="817"/>
      <c r="X11" s="786"/>
      <c r="Y11" s="817"/>
      <c r="Z11" s="786"/>
      <c r="AA11" s="786"/>
      <c r="AB11" s="786"/>
      <c r="AC11" s="786"/>
      <c r="AD11" s="1213"/>
      <c r="AE11" s="1336"/>
      <c r="AF11" s="1240"/>
      <c r="AG11" s="1359"/>
      <c r="AH11" s="1156"/>
      <c r="AI11" s="166"/>
      <c r="AJ11" s="107"/>
      <c r="AK11" s="179" t="s">
        <v>503</v>
      </c>
      <c r="AL11" s="786"/>
      <c r="AM11" s="786"/>
      <c r="AN11" s="786"/>
      <c r="AO11" s="786"/>
      <c r="AP11" s="786"/>
      <c r="AQ11" s="786"/>
      <c r="AR11" s="786"/>
      <c r="AS11" s="786"/>
      <c r="AT11" s="786"/>
      <c r="AU11" s="817"/>
      <c r="AV11" s="786"/>
      <c r="AW11" s="817"/>
      <c r="AX11" s="786"/>
      <c r="AY11" s="786"/>
      <c r="AZ11" s="786"/>
      <c r="BA11" s="786"/>
      <c r="BB11" s="790"/>
      <c r="BC11" s="1307"/>
      <c r="BE11" s="66"/>
      <c r="BF11" s="66"/>
      <c r="BG11" s="66"/>
      <c r="BH11" s="66"/>
      <c r="BI11" s="10">
        <v>0</v>
      </c>
    </row>
    <row r="12" spans="1:61" ht="11.25" hidden="1" customHeight="1">
      <c r="A12" s="766"/>
      <c r="B12" s="766"/>
      <c r="C12" s="766"/>
      <c r="D12" s="766"/>
      <c r="E12" s="1284"/>
      <c r="F12" s="1284"/>
      <c r="G12" s="1284"/>
      <c r="H12" s="1284"/>
      <c r="I12" s="1286"/>
      <c r="J12" s="1286"/>
      <c r="K12" s="1285"/>
      <c r="L12" s="767"/>
      <c r="P12" s="1287"/>
      <c r="Q12" s="1287"/>
      <c r="R12" s="1343"/>
      <c r="S12" s="1342"/>
      <c r="T12" s="1362"/>
      <c r="U12" s="168"/>
      <c r="V12" s="786"/>
      <c r="W12" s="787" t="str">
        <f>Z8&amp;"-"&amp;AB8</f>
        <v>-</v>
      </c>
      <c r="X12" s="786"/>
      <c r="Y12" s="787" t="str">
        <f>AB8&amp;"-"&amp;AD8</f>
        <v>-да</v>
      </c>
      <c r="Z12" s="786"/>
      <c r="AA12" s="786"/>
      <c r="AB12" s="786"/>
      <c r="AC12" s="786"/>
      <c r="AD12" s="1161"/>
      <c r="AE12" s="178"/>
      <c r="AF12" s="180"/>
      <c r="AG12" s="51" t="s">
        <v>504</v>
      </c>
      <c r="AH12" s="786"/>
      <c r="AI12" s="786"/>
      <c r="AJ12" s="786"/>
      <c r="AK12" s="786"/>
      <c r="AL12" s="786"/>
      <c r="AM12" s="786"/>
      <c r="AN12" s="786"/>
      <c r="AO12" s="786"/>
      <c r="AP12" s="786"/>
      <c r="AQ12" s="786"/>
      <c r="AR12" s="786"/>
      <c r="AS12" s="786"/>
      <c r="AT12" s="786"/>
      <c r="AU12" s="787" t="str">
        <f>AX8&amp;"-"&amp;AZ8</f>
        <v>-</v>
      </c>
      <c r="AV12" s="786"/>
      <c r="AW12" s="787" t="str">
        <f>AZ8&amp;"-"&amp;BB8</f>
        <v>-</v>
      </c>
      <c r="AX12" s="786"/>
      <c r="AY12" s="786"/>
      <c r="AZ12" s="786"/>
      <c r="BA12" s="786"/>
      <c r="BB12" s="789" t="str">
        <f>BE8&amp;"-"&amp;BG8</f>
        <v>-</v>
      </c>
      <c r="BC12" s="1307"/>
      <c r="BE12" s="66"/>
      <c r="BF12" s="66" t="str">
        <f t="shared" ref="BF12:BF18" si="1">IF(T12="","",T12)</f>
        <v/>
      </c>
      <c r="BG12" s="66"/>
      <c r="BH12" s="66"/>
      <c r="BI12" s="10">
        <v>0</v>
      </c>
    </row>
    <row r="13" spans="1:61" ht="11.25" hidden="1" customHeight="1">
      <c r="A13" s="766"/>
      <c r="B13" s="766"/>
      <c r="C13" s="766"/>
      <c r="D13" s="766"/>
      <c r="E13" s="1284"/>
      <c r="F13" s="1284"/>
      <c r="G13" s="1284"/>
      <c r="H13" s="1284"/>
      <c r="I13" s="1286"/>
      <c r="J13" s="1285"/>
      <c r="K13" s="766"/>
      <c r="L13" s="767"/>
      <c r="P13" s="1287"/>
      <c r="Q13" s="1287"/>
      <c r="R13" s="205"/>
      <c r="S13" s="739"/>
      <c r="T13" s="163" t="s">
        <v>465</v>
      </c>
      <c r="U13" s="210"/>
      <c r="V13" s="210"/>
      <c r="W13" s="210"/>
      <c r="X13" s="210"/>
      <c r="Y13" s="210"/>
      <c r="Z13" s="210"/>
      <c r="AA13" s="210"/>
      <c r="AB13" s="210"/>
      <c r="AC13" s="210"/>
      <c r="AD13" s="825"/>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187"/>
      <c r="BC13" s="1308"/>
      <c r="BE13" s="66"/>
      <c r="BF13" s="66" t="str">
        <f t="shared" si="1"/>
        <v>Добавить строку</v>
      </c>
      <c r="BG13" s="66"/>
      <c r="BH13" s="66"/>
      <c r="BI13" s="10">
        <v>0</v>
      </c>
    </row>
    <row r="14" spans="1:61" s="65" customFormat="1" ht="14.25" hidden="1" customHeight="1">
      <c r="A14" s="142"/>
      <c r="B14" s="142"/>
      <c r="C14" s="142"/>
      <c r="D14" s="142"/>
      <c r="E14" s="1284"/>
      <c r="F14" s="1284"/>
      <c r="G14" s="1284"/>
      <c r="H14" s="1284"/>
      <c r="I14" s="1285"/>
      <c r="J14" s="142"/>
      <c r="K14" s="142"/>
      <c r="L14" s="343"/>
      <c r="M14" s="287"/>
      <c r="N14" s="287"/>
      <c r="O14" s="287"/>
      <c r="P14" s="1287"/>
      <c r="Q14" s="119"/>
      <c r="R14" s="205"/>
      <c r="S14" s="779"/>
      <c r="T14" s="780"/>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c r="AT14" s="781"/>
      <c r="AU14" s="781"/>
      <c r="AV14" s="781"/>
      <c r="AW14" s="781"/>
      <c r="AX14" s="781"/>
      <c r="AY14" s="781"/>
      <c r="AZ14" s="781"/>
      <c r="BA14" s="781"/>
      <c r="BB14" s="781"/>
      <c r="BC14" s="782"/>
      <c r="BE14" s="66"/>
      <c r="BF14" s="66" t="str">
        <f t="shared" si="1"/>
        <v/>
      </c>
      <c r="BG14" s="66"/>
      <c r="BH14" s="66"/>
      <c r="BI14" s="65">
        <v>0</v>
      </c>
    </row>
    <row r="15" spans="1:61" s="65" customFormat="1" ht="14.25" hidden="1" customHeight="1">
      <c r="A15" s="142"/>
      <c r="B15" s="142"/>
      <c r="C15" s="142"/>
      <c r="D15" s="142"/>
      <c r="E15" s="1284"/>
      <c r="F15" s="1284"/>
      <c r="G15" s="1284"/>
      <c r="H15" s="1283"/>
      <c r="I15" s="142"/>
      <c r="J15" s="142"/>
      <c r="K15" s="142"/>
      <c r="L15" s="343"/>
      <c r="M15" s="290"/>
      <c r="N15" s="290"/>
      <c r="P15" s="101"/>
      <c r="Q15" s="752"/>
      <c r="R15" s="793"/>
      <c r="S15" s="779"/>
      <c r="T15" s="780"/>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c r="AT15" s="781"/>
      <c r="AU15" s="781"/>
      <c r="AV15" s="781"/>
      <c r="AW15" s="781"/>
      <c r="AX15" s="781"/>
      <c r="AY15" s="781"/>
      <c r="AZ15" s="781"/>
      <c r="BA15" s="781"/>
      <c r="BB15" s="781"/>
      <c r="BC15" s="782"/>
      <c r="BE15" s="66"/>
      <c r="BF15" s="66" t="str">
        <f t="shared" si="1"/>
        <v/>
      </c>
      <c r="BG15" s="66"/>
      <c r="BH15" s="66"/>
      <c r="BI15" s="65">
        <v>0</v>
      </c>
    </row>
    <row r="16" spans="1:61" s="65" customFormat="1" ht="14.25" hidden="1" customHeight="1">
      <c r="A16" s="142"/>
      <c r="B16" s="142"/>
      <c r="C16" s="142"/>
      <c r="D16" s="142"/>
      <c r="E16" s="1284"/>
      <c r="F16" s="1284"/>
      <c r="G16" s="1283"/>
      <c r="H16" s="142"/>
      <c r="I16" s="142"/>
      <c r="J16" s="142"/>
      <c r="K16" s="142"/>
      <c r="L16" s="343"/>
      <c r="M16" s="290"/>
      <c r="N16" s="290"/>
      <c r="P16" s="101"/>
      <c r="Q16" s="752"/>
      <c r="R16" s="101"/>
      <c r="S16" s="757"/>
      <c r="T16" s="759"/>
      <c r="U16" s="310"/>
      <c r="V16" s="310"/>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E16" s="66"/>
      <c r="BF16" s="66" t="str">
        <f t="shared" si="1"/>
        <v/>
      </c>
      <c r="BG16" s="66"/>
      <c r="BH16" s="66"/>
      <c r="BI16" s="65">
        <v>0</v>
      </c>
    </row>
    <row r="17" spans="1:61" s="65" customFormat="1" ht="14.25" hidden="1" customHeight="1">
      <c r="A17" s="142"/>
      <c r="B17" s="142"/>
      <c r="C17" s="142"/>
      <c r="D17" s="142"/>
      <c r="E17" s="1284"/>
      <c r="F17" s="1283"/>
      <c r="G17" s="142"/>
      <c r="H17" s="142"/>
      <c r="I17" s="142"/>
      <c r="J17" s="142"/>
      <c r="K17" s="142"/>
      <c r="L17" s="343"/>
      <c r="M17" s="756"/>
      <c r="N17" s="756"/>
      <c r="P17" s="101"/>
      <c r="Q17" s="752"/>
      <c r="R17" s="101"/>
      <c r="S17" s="757"/>
      <c r="T17" s="759" t="s">
        <v>231</v>
      </c>
      <c r="U17" s="310"/>
      <c r="V17" s="310"/>
      <c r="W17" s="310"/>
      <c r="X17" s="310"/>
      <c r="Y17" s="310"/>
      <c r="Z17" s="310"/>
      <c r="AA17" s="310"/>
      <c r="AB17" s="310"/>
      <c r="AC17" s="310"/>
      <c r="AD17" s="310"/>
      <c r="AE17" s="310"/>
      <c r="AF17" s="310"/>
      <c r="AG17" s="310"/>
      <c r="AH17" s="310"/>
      <c r="AI17" s="310"/>
      <c r="AJ17" s="310"/>
      <c r="AK17" s="310"/>
      <c r="AL17" s="310"/>
      <c r="AM17" s="310"/>
      <c r="AN17" s="310"/>
      <c r="AO17" s="310"/>
      <c r="AP17" s="310"/>
      <c r="AQ17" s="310"/>
      <c r="AR17" s="310"/>
      <c r="AS17" s="310"/>
      <c r="AT17" s="310"/>
      <c r="AU17" s="310"/>
      <c r="AV17" s="310"/>
      <c r="AW17" s="310"/>
      <c r="AX17" s="310"/>
      <c r="AY17" s="310"/>
      <c r="AZ17" s="310"/>
      <c r="BA17" s="310"/>
      <c r="BB17" s="310"/>
      <c r="BC17" s="310"/>
      <c r="BE17" s="66"/>
      <c r="BF17" s="66" t="str">
        <f t="shared" si="1"/>
        <v>Добавить централизованную систему для дифференциации</v>
      </c>
      <c r="BG17" s="66"/>
      <c r="BH17" s="66"/>
      <c r="BI17" s="65">
        <v>0</v>
      </c>
    </row>
    <row r="18" spans="1:61" s="65" customFormat="1" ht="14.25" hidden="1" customHeight="1">
      <c r="A18" s="142"/>
      <c r="B18" s="142"/>
      <c r="C18" s="142"/>
      <c r="D18" s="142"/>
      <c r="E18" s="1283"/>
      <c r="F18" s="142"/>
      <c r="G18" s="142"/>
      <c r="H18" s="142"/>
      <c r="I18" s="142"/>
      <c r="J18" s="142"/>
      <c r="K18" s="142"/>
      <c r="L18" s="343"/>
      <c r="M18" s="756"/>
      <c r="N18" s="756"/>
      <c r="P18" s="101"/>
      <c r="Q18" s="752"/>
      <c r="R18" s="101"/>
      <c r="S18" s="757"/>
      <c r="T18" s="759" t="s">
        <v>232</v>
      </c>
      <c r="U18" s="310"/>
      <c r="V18" s="310"/>
      <c r="W18" s="310"/>
      <c r="X18" s="310"/>
      <c r="Y18" s="310"/>
      <c r="Z18" s="310"/>
      <c r="AA18" s="310"/>
      <c r="AB18" s="310"/>
      <c r="AC18" s="310"/>
      <c r="AD18" s="310"/>
      <c r="AE18" s="310"/>
      <c r="AF18" s="310"/>
      <c r="AG18" s="310"/>
      <c r="AH18" s="310"/>
      <c r="AI18" s="310"/>
      <c r="AJ18" s="310"/>
      <c r="AK18" s="310"/>
      <c r="AL18" s="310"/>
      <c r="AM18" s="310"/>
      <c r="AN18" s="310"/>
      <c r="AO18" s="310"/>
      <c r="AP18" s="310"/>
      <c r="AQ18" s="310"/>
      <c r="AR18" s="310"/>
      <c r="AS18" s="310"/>
      <c r="AT18" s="310"/>
      <c r="AU18" s="310"/>
      <c r="AV18" s="310"/>
      <c r="AW18" s="310"/>
      <c r="AX18" s="310"/>
      <c r="AY18" s="310"/>
      <c r="AZ18" s="310"/>
      <c r="BA18" s="310"/>
      <c r="BB18" s="310"/>
      <c r="BC18" s="310"/>
      <c r="BE18" s="66"/>
      <c r="BF18" s="66" t="str">
        <f t="shared" si="1"/>
        <v>Добавить территорию для дифференциации</v>
      </c>
      <c r="BG18" s="66"/>
      <c r="BH18" s="66"/>
      <c r="BI18" s="65">
        <v>0</v>
      </c>
    </row>
    <row r="19" spans="1:61" ht="14.25" hidden="1" customHeight="1">
      <c r="BI19" s="10">
        <v>0</v>
      </c>
    </row>
    <row r="20" spans="1:61" ht="14.25" hidden="1" customHeight="1">
      <c r="AD20" s="310" t="s">
        <v>19</v>
      </c>
      <c r="AE20" s="822"/>
      <c r="AF20" s="310">
        <v>1</v>
      </c>
      <c r="AG20" s="823"/>
      <c r="AH20" s="310" t="s">
        <v>19</v>
      </c>
      <c r="AI20" s="822"/>
      <c r="AJ20" s="310">
        <v>1</v>
      </c>
      <c r="AK20" s="823"/>
      <c r="AL20" s="310" t="s">
        <v>19</v>
      </c>
      <c r="AM20" s="824"/>
      <c r="AN20" s="310">
        <v>1</v>
      </c>
      <c r="AO20" s="124"/>
      <c r="AP20" s="310" t="s">
        <v>19</v>
      </c>
      <c r="AQ20" s="824"/>
      <c r="AR20" s="310">
        <v>1</v>
      </c>
      <c r="AS20" s="124"/>
      <c r="AT20" s="188"/>
      <c r="AU20" s="216"/>
      <c r="AV20" s="188"/>
      <c r="AW20" s="216"/>
      <c r="AX20" s="944"/>
      <c r="AY20" s="814" t="s">
        <v>64</v>
      </c>
      <c r="AZ20" s="944"/>
      <c r="BA20" s="814" t="s">
        <v>64</v>
      </c>
      <c r="BI20" s="10">
        <v>0</v>
      </c>
    </row>
    <row r="21" spans="1:61" ht="14.25" hidden="1" customHeight="1">
      <c r="BD21" s="200"/>
      <c r="BE21" s="200"/>
      <c r="BF21" s="200"/>
      <c r="BG21" s="200"/>
      <c r="BH21" s="200"/>
      <c r="BI21" s="10">
        <v>0</v>
      </c>
    </row>
    <row r="22" spans="1:61" ht="14.25" hidden="1" customHeight="1">
      <c r="O22" s="768" t="s">
        <v>415</v>
      </c>
      <c r="Z22" s="761"/>
      <c r="AB22" s="761"/>
      <c r="AX22" s="761"/>
      <c r="AZ22" s="761"/>
      <c r="BD22" s="200"/>
      <c r="BE22" s="200"/>
      <c r="BF22" s="200"/>
      <c r="BG22" s="200"/>
      <c r="BH22" s="200"/>
      <c r="BI22" s="10">
        <v>0</v>
      </c>
    </row>
    <row r="23" spans="1:61" ht="14.25" hidden="1" customHeight="1">
      <c r="BD23" s="200"/>
      <c r="BE23" s="200"/>
      <c r="BF23" s="200"/>
      <c r="BG23" s="200"/>
      <c r="BH23" s="200"/>
      <c r="BI23" s="10">
        <v>0</v>
      </c>
    </row>
    <row r="24" spans="1:61" s="827" customFormat="1" ht="14.25" hidden="1" customHeight="1">
      <c r="M24" s="828"/>
      <c r="N24" s="828"/>
      <c r="O24" s="827" t="s">
        <v>416</v>
      </c>
      <c r="P24" s="828"/>
      <c r="Q24" s="829"/>
      <c r="R24" s="829"/>
      <c r="AA24" s="827" t="s">
        <v>418</v>
      </c>
      <c r="AC24" s="827" t="s">
        <v>419</v>
      </c>
      <c r="AD24" s="827" t="s">
        <v>466</v>
      </c>
      <c r="AH24" s="827" t="s">
        <v>466</v>
      </c>
      <c r="AK24" s="827" t="s">
        <v>505</v>
      </c>
      <c r="AL24" s="827" t="s">
        <v>466</v>
      </c>
      <c r="AP24" s="827" t="s">
        <v>466</v>
      </c>
      <c r="AY24" s="827" t="s">
        <v>418</v>
      </c>
      <c r="BA24" s="827" t="s">
        <v>419</v>
      </c>
      <c r="BD24" s="830"/>
      <c r="BE24" s="830"/>
      <c r="BF24" s="830"/>
      <c r="BG24" s="830"/>
      <c r="BH24" s="830"/>
      <c r="BI24" s="827">
        <v>0</v>
      </c>
    </row>
    <row r="25" spans="1:61" ht="14.25" hidden="1" customHeight="1">
      <c r="O25" s="767"/>
      <c r="BD25" s="200"/>
      <c r="BE25" s="200"/>
      <c r="BF25" s="200"/>
      <c r="BG25" s="200"/>
      <c r="BH25" s="200"/>
      <c r="BI25" s="10">
        <v>0</v>
      </c>
    </row>
    <row r="26" spans="1:61" ht="14.25" hidden="1" customHeight="1">
      <c r="O26" s="767"/>
      <c r="BD26" s="200"/>
      <c r="BE26" s="200"/>
      <c r="BF26" s="200"/>
      <c r="BG26" s="200"/>
      <c r="BH26" s="200"/>
      <c r="BI26" s="10">
        <v>0</v>
      </c>
    </row>
    <row r="27" spans="1:61" ht="14.65" customHeight="1">
      <c r="Q27" s="165"/>
      <c r="R27" s="27"/>
      <c r="S27" s="736"/>
      <c r="T27" s="9"/>
      <c r="U27" s="9"/>
      <c r="BI27" s="10">
        <v>14</v>
      </c>
    </row>
    <row r="28" spans="1:61" ht="14.65" customHeight="1">
      <c r="Q28" s="165"/>
      <c r="R28" s="27"/>
      <c r="S28" s="126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4"/>
      <c r="U28" s="1264"/>
      <c r="V28" s="1264"/>
      <c r="W28" s="1264"/>
      <c r="X28" s="1264"/>
      <c r="Y28" s="1264"/>
      <c r="Z28" s="1264"/>
      <c r="AA28" s="1264"/>
      <c r="AB28" s="1264"/>
      <c r="AC28" s="1264"/>
      <c r="AD28" s="1264"/>
      <c r="AE28" s="1264"/>
      <c r="AF28" s="1264"/>
      <c r="AG28" s="1264"/>
      <c r="AH28" s="1264"/>
      <c r="AI28" s="1264"/>
      <c r="AJ28" s="1264"/>
      <c r="AK28" s="1264"/>
      <c r="AL28" s="1264"/>
      <c r="AM28" s="1264"/>
      <c r="AN28" s="1264"/>
      <c r="AO28" s="1264"/>
      <c r="AP28" s="1264"/>
      <c r="AQ28" s="1264"/>
      <c r="AR28" s="1264"/>
      <c r="AS28" s="1264"/>
      <c r="AT28" s="1264"/>
      <c r="AU28" s="1264"/>
      <c r="AV28" s="1264"/>
      <c r="AW28" s="1264"/>
      <c r="AX28" s="1264"/>
      <c r="AY28" s="1264"/>
      <c r="AZ28" s="1264"/>
      <c r="BA28" s="57"/>
      <c r="BI28" s="10">
        <v>14</v>
      </c>
    </row>
    <row r="29" spans="1:61" ht="14.65" customHeight="1">
      <c r="Q29" s="165"/>
      <c r="R29" s="27"/>
      <c r="S29" s="1236" t="str">
        <f>IF(org=0,"Не определено",org)</f>
        <v>Общество с ограниченной ответственностью "Березовский рудник"</v>
      </c>
      <c r="T29" s="1236"/>
      <c r="U29" s="1236"/>
      <c r="V29" s="1236"/>
      <c r="W29" s="1236"/>
      <c r="X29" s="1236"/>
      <c r="Y29" s="1236"/>
      <c r="Z29" s="1236"/>
      <c r="AA29" s="1236"/>
      <c r="AB29" s="1236"/>
      <c r="AC29" s="1236"/>
      <c r="AD29" s="1236"/>
      <c r="AE29" s="1236"/>
      <c r="AF29" s="1236"/>
      <c r="AG29" s="1236"/>
      <c r="AH29" s="1236"/>
      <c r="AI29" s="1236"/>
      <c r="AJ29" s="1236"/>
      <c r="AK29" s="1236"/>
      <c r="AL29" s="1236"/>
      <c r="AM29" s="1236"/>
      <c r="AN29" s="1236"/>
      <c r="AO29" s="1236"/>
      <c r="AP29" s="1236"/>
      <c r="AQ29" s="1236"/>
      <c r="AR29" s="1236"/>
      <c r="AS29" s="1236"/>
      <c r="AT29" s="1236"/>
      <c r="AU29" s="1236"/>
      <c r="AV29" s="1236"/>
      <c r="AW29" s="1236"/>
      <c r="AX29" s="1236"/>
      <c r="AY29" s="1236"/>
      <c r="AZ29" s="1236"/>
      <c r="BA29" s="57"/>
      <c r="BI29" s="10">
        <v>14</v>
      </c>
    </row>
    <row r="30" spans="1:61" ht="14.25" hidden="1" customHeight="1">
      <c r="Q30" s="165"/>
      <c r="R30" s="27"/>
      <c r="S30" s="736"/>
      <c r="T30" s="9"/>
      <c r="U30" s="9"/>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I30" s="10">
        <v>0</v>
      </c>
    </row>
    <row r="31" spans="1:61" s="34" customFormat="1" ht="25.5" hidden="1" customHeight="1">
      <c r="A31" s="79"/>
      <c r="B31" s="79"/>
      <c r="C31" s="79"/>
      <c r="D31" s="79"/>
      <c r="E31" s="79"/>
      <c r="F31" s="79"/>
      <c r="G31" s="79"/>
      <c r="H31" s="79"/>
      <c r="I31" s="79"/>
      <c r="J31" s="79"/>
      <c r="K31" s="79"/>
      <c r="L31" s="767"/>
      <c r="M31" s="79"/>
      <c r="N31" s="79"/>
      <c r="O31" s="79"/>
      <c r="P31" s="79"/>
      <c r="Q31" s="79"/>
      <c r="S31" s="1274" t="s">
        <v>41</v>
      </c>
      <c r="T31" s="1274"/>
      <c r="U31" s="770"/>
      <c r="V31" s="1276" t="str">
        <f>IF(TITLE_NAME_OR_PR_CHANGE="",IF(TITLE_NAME_OR_PR="","",TITLE_NAME_OR_PR),TITLE_NAME_OR_PR_CHANGE)</f>
        <v/>
      </c>
      <c r="W31" s="1276"/>
      <c r="X31" s="1276"/>
      <c r="Y31" s="1276"/>
      <c r="Z31" s="1276"/>
      <c r="AA31" s="1276"/>
      <c r="AB31" s="1276"/>
      <c r="AC31" s="10"/>
      <c r="AD31" s="1276" t="str">
        <f>IF(TITLE_NAME_OR_PR_CHANGE="",IF(TITLE_NAME_OR_PR="","",TITLE_NAME_OR_PR),TITLE_NAME_OR_PR_CHANGE)</f>
        <v/>
      </c>
      <c r="AE31" s="1276"/>
      <c r="AF31" s="1276"/>
      <c r="AG31" s="1276"/>
      <c r="AH31" s="1276"/>
      <c r="AI31" s="1276"/>
      <c r="AJ31" s="1276"/>
      <c r="AK31" s="1276"/>
      <c r="AL31" s="1276"/>
      <c r="AM31" s="1276"/>
      <c r="AN31" s="1276"/>
      <c r="AO31" s="1276"/>
      <c r="AP31" s="1276"/>
      <c r="AQ31" s="1276"/>
      <c r="AR31" s="1276"/>
      <c r="AS31" s="1276"/>
      <c r="AT31" s="1276"/>
      <c r="AU31" s="1276"/>
      <c r="AV31" s="1276"/>
      <c r="AW31" s="1276"/>
      <c r="AX31" s="1276"/>
      <c r="AY31" s="1276"/>
      <c r="AZ31" s="1276"/>
      <c r="BA31" s="10"/>
      <c r="BB31" s="10"/>
      <c r="BC31" s="160"/>
      <c r="BD31" s="66"/>
      <c r="BE31" s="66"/>
      <c r="BF31" s="66"/>
      <c r="BG31" s="66"/>
      <c r="BH31" s="66"/>
      <c r="BI31" s="34">
        <v>0</v>
      </c>
    </row>
    <row r="32" spans="1:61" s="34" customFormat="1" ht="18.75" hidden="1" customHeight="1">
      <c r="A32" s="79"/>
      <c r="B32" s="79"/>
      <c r="C32" s="79"/>
      <c r="D32" s="79"/>
      <c r="E32" s="79"/>
      <c r="F32" s="79"/>
      <c r="G32" s="79"/>
      <c r="H32" s="79"/>
      <c r="I32" s="79"/>
      <c r="J32" s="79"/>
      <c r="K32" s="79"/>
      <c r="L32" s="767"/>
      <c r="M32" s="79"/>
      <c r="N32" s="79"/>
      <c r="O32" s="79"/>
      <c r="P32" s="79"/>
      <c r="Q32" s="79"/>
      <c r="S32" s="1274" t="s">
        <v>421</v>
      </c>
      <c r="T32" s="1274"/>
      <c r="U32" s="770"/>
      <c r="V32" s="1275">
        <f>IF(TITLE_DATE_PR_CHANGE="",IF(TITLE_DATE_PR="","",TITLE_DATE_PR),TITLE_DATE_PR_CHANGE)</f>
        <v>45805</v>
      </c>
      <c r="W32" s="1275"/>
      <c r="X32" s="1275"/>
      <c r="Y32" s="1275"/>
      <c r="Z32" s="1275"/>
      <c r="AA32" s="1275"/>
      <c r="AB32" s="1275"/>
      <c r="AC32" s="10"/>
      <c r="AD32" s="1275">
        <f>IF(TITLE_DATE_PR_CHANGE="",IF(TITLE_DATE_PR="","",TITLE_DATE_PR),TITLE_DATE_PR_CHANGE)</f>
        <v>45805</v>
      </c>
      <c r="AE32" s="1275"/>
      <c r="AF32" s="1275"/>
      <c r="AG32" s="1275"/>
      <c r="AH32" s="1275"/>
      <c r="AI32" s="1275"/>
      <c r="AJ32" s="1275"/>
      <c r="AK32" s="1275"/>
      <c r="AL32" s="1275"/>
      <c r="AM32" s="1275"/>
      <c r="AN32" s="1275"/>
      <c r="AO32" s="1275"/>
      <c r="AP32" s="1275"/>
      <c r="AQ32" s="1275"/>
      <c r="AR32" s="1275"/>
      <c r="AS32" s="1275"/>
      <c r="AT32" s="1275"/>
      <c r="AU32" s="1275"/>
      <c r="AV32" s="1275"/>
      <c r="AW32" s="1275"/>
      <c r="AX32" s="1275"/>
      <c r="AY32" s="1275"/>
      <c r="AZ32" s="1275"/>
      <c r="BA32" s="10"/>
      <c r="BB32" s="10"/>
      <c r="BC32" s="160"/>
      <c r="BD32" s="66"/>
      <c r="BE32" s="66"/>
      <c r="BF32" s="66"/>
      <c r="BG32" s="66"/>
      <c r="BH32" s="66"/>
      <c r="BI32" s="34">
        <v>0</v>
      </c>
    </row>
    <row r="33" spans="1:61" s="34" customFormat="1" ht="18.75" hidden="1" customHeight="1">
      <c r="A33" s="79"/>
      <c r="B33" s="79"/>
      <c r="C33" s="79"/>
      <c r="D33" s="79"/>
      <c r="E33" s="79"/>
      <c r="F33" s="79"/>
      <c r="G33" s="79"/>
      <c r="H33" s="79"/>
      <c r="I33" s="79"/>
      <c r="J33" s="79"/>
      <c r="K33" s="79"/>
      <c r="L33" s="767"/>
      <c r="M33" s="79"/>
      <c r="N33" s="79"/>
      <c r="O33" s="79"/>
      <c r="P33" s="79"/>
      <c r="Q33" s="79"/>
      <c r="S33" s="1274" t="s">
        <v>422</v>
      </c>
      <c r="T33" s="1274"/>
      <c r="U33" s="770"/>
      <c r="V33" s="1276" t="str">
        <f>IF(TITLE_NUMBER_PR_CHANGE="",IF(TITLE_NUMBER_PR="","",TITLE_NUMBER_PR),TITLE_NUMBER_PR_CHANGE)</f>
        <v>2496</v>
      </c>
      <c r="W33" s="1276"/>
      <c r="X33" s="1276"/>
      <c r="Y33" s="1276"/>
      <c r="Z33" s="1276"/>
      <c r="AA33" s="1276"/>
      <c r="AB33" s="1276"/>
      <c r="AC33" s="10"/>
      <c r="AD33" s="1276" t="str">
        <f>IF(TITLE_NUMBER_PR_CHANGE="",IF(TITLE_NUMBER_PR="","",TITLE_NUMBER_PR),TITLE_NUMBER_PR_CHANGE)</f>
        <v>2496</v>
      </c>
      <c r="AE33" s="1276"/>
      <c r="AF33" s="1276"/>
      <c r="AG33" s="1276"/>
      <c r="AH33" s="1276"/>
      <c r="AI33" s="1276"/>
      <c r="AJ33" s="1276"/>
      <c r="AK33" s="1276"/>
      <c r="AL33" s="1276"/>
      <c r="AM33" s="1276"/>
      <c r="AN33" s="1276"/>
      <c r="AO33" s="1276"/>
      <c r="AP33" s="1276"/>
      <c r="AQ33" s="1276"/>
      <c r="AR33" s="1276"/>
      <c r="AS33" s="1276"/>
      <c r="AT33" s="1276"/>
      <c r="AU33" s="1276"/>
      <c r="AV33" s="1276"/>
      <c r="AW33" s="1276"/>
      <c r="AX33" s="1276"/>
      <c r="AY33" s="1276"/>
      <c r="AZ33" s="1276"/>
      <c r="BA33" s="10"/>
      <c r="BB33" s="10"/>
      <c r="BC33" s="160"/>
      <c r="BD33" s="66"/>
      <c r="BE33" s="66"/>
      <c r="BF33" s="66"/>
      <c r="BG33" s="66"/>
      <c r="BH33" s="66"/>
      <c r="BI33" s="34">
        <v>0</v>
      </c>
    </row>
    <row r="34" spans="1:61" s="34" customFormat="1" ht="18.75" hidden="1" customHeight="1">
      <c r="A34" s="79"/>
      <c r="B34" s="79"/>
      <c r="C34" s="79"/>
      <c r="D34" s="79"/>
      <c r="E34" s="79"/>
      <c r="F34" s="79"/>
      <c r="G34" s="79"/>
      <c r="H34" s="79"/>
      <c r="I34" s="79"/>
      <c r="J34" s="79"/>
      <c r="K34" s="79"/>
      <c r="L34" s="767"/>
      <c r="M34" s="79"/>
      <c r="N34" s="79"/>
      <c r="O34" s="79"/>
      <c r="P34" s="79"/>
      <c r="Q34" s="79"/>
      <c r="S34" s="1274" t="s">
        <v>42</v>
      </c>
      <c r="T34" s="1274"/>
      <c r="U34" s="770"/>
      <c r="V34" s="1276" t="str">
        <f>IF(TITLE_IST_PUB_CHANGE="",IF(TITLE_IST_PUB="","",TITLE_IST_PUB),TITLE_IST_PUB_CHANGE)</f>
        <v/>
      </c>
      <c r="W34" s="1276"/>
      <c r="X34" s="1276"/>
      <c r="Y34" s="1276"/>
      <c r="Z34" s="1276"/>
      <c r="AA34" s="1276"/>
      <c r="AB34" s="1276"/>
      <c r="AC34" s="10"/>
      <c r="AD34" s="1276" t="str">
        <f>IF(TITLE_IST_PUB_CHANGE="",IF(TITLE_IST_PUB="","",TITLE_IST_PUB),TITLE_IST_PUB_CHANGE)</f>
        <v/>
      </c>
      <c r="AE34" s="1276"/>
      <c r="AF34" s="1276"/>
      <c r="AG34" s="1276"/>
      <c r="AH34" s="1276"/>
      <c r="AI34" s="1276"/>
      <c r="AJ34" s="1276"/>
      <c r="AK34" s="1276"/>
      <c r="AL34" s="1276"/>
      <c r="AM34" s="1276"/>
      <c r="AN34" s="1276"/>
      <c r="AO34" s="1276"/>
      <c r="AP34" s="1276"/>
      <c r="AQ34" s="1276"/>
      <c r="AR34" s="1276"/>
      <c r="AS34" s="1276"/>
      <c r="AT34" s="1276"/>
      <c r="AU34" s="1276"/>
      <c r="AV34" s="1276"/>
      <c r="AW34" s="1276"/>
      <c r="AX34" s="1276"/>
      <c r="AY34" s="1276"/>
      <c r="AZ34" s="1276"/>
      <c r="BA34" s="10"/>
      <c r="BB34" s="10"/>
      <c r="BC34" s="160"/>
      <c r="BD34" s="66"/>
      <c r="BE34" s="66"/>
      <c r="BF34" s="66"/>
      <c r="BG34" s="66"/>
      <c r="BH34" s="66"/>
      <c r="BI34" s="34">
        <v>0</v>
      </c>
    </row>
    <row r="35" spans="1:61" ht="14.25" customHeight="1">
      <c r="Q35" s="165"/>
      <c r="R35" s="27"/>
      <c r="S35" s="736"/>
      <c r="T35" s="9"/>
      <c r="U35" s="9"/>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I35" s="10">
        <v>0</v>
      </c>
    </row>
    <row r="36" spans="1:61" s="34" customFormat="1" ht="18.75" customHeight="1">
      <c r="A36" s="79"/>
      <c r="B36" s="79"/>
      <c r="C36" s="79"/>
      <c r="D36" s="79"/>
      <c r="E36" s="79"/>
      <c r="F36" s="79"/>
      <c r="G36" s="79"/>
      <c r="H36" s="79"/>
      <c r="I36" s="79"/>
      <c r="J36" s="79"/>
      <c r="K36" s="79"/>
      <c r="L36" s="767"/>
      <c r="M36" s="79"/>
      <c r="N36" s="79"/>
      <c r="O36" s="79"/>
      <c r="P36" s="79"/>
      <c r="Q36" s="79"/>
      <c r="S36" s="1274" t="s">
        <v>421</v>
      </c>
      <c r="T36" s="1274"/>
      <c r="U36" s="770"/>
      <c r="V36" s="1275">
        <f>IF(TITLE_DATE_PR_CHANGE="",IF(TITLE_DATE_PR="","",TITLE_DATE_PR),TITLE_DATE_PR_CHANGE)</f>
        <v>45805</v>
      </c>
      <c r="W36" s="1275"/>
      <c r="X36" s="1275"/>
      <c r="Y36" s="1275"/>
      <c r="Z36" s="1275"/>
      <c r="AA36" s="1275"/>
      <c r="AB36" s="1275"/>
      <c r="AC36" s="10"/>
      <c r="AD36" s="1275">
        <f>IF(TITLE_DATE_PR_CHANGE="",IF(TITLE_DATE_PR="","",TITLE_DATE_PR),TITLE_DATE_PR_CHANGE)</f>
        <v>45805</v>
      </c>
      <c r="AE36" s="1275"/>
      <c r="AF36" s="1275"/>
      <c r="AG36" s="1275"/>
      <c r="AH36" s="1275"/>
      <c r="AI36" s="1275"/>
      <c r="AJ36" s="1275"/>
      <c r="AK36" s="1275"/>
      <c r="AL36" s="1275"/>
      <c r="AM36" s="1275"/>
      <c r="AN36" s="1275"/>
      <c r="AO36" s="1275"/>
      <c r="AP36" s="1275"/>
      <c r="AQ36" s="1275"/>
      <c r="AR36" s="1275"/>
      <c r="AS36" s="1275"/>
      <c r="AT36" s="1275"/>
      <c r="AU36" s="1275"/>
      <c r="AV36" s="1275"/>
      <c r="AW36" s="1275"/>
      <c r="AX36" s="1275"/>
      <c r="AY36" s="1275"/>
      <c r="AZ36" s="1275"/>
      <c r="BA36" s="10"/>
      <c r="BB36" s="10"/>
      <c r="BC36" s="160"/>
      <c r="BD36" s="66"/>
      <c r="BE36" s="66"/>
      <c r="BF36" s="66"/>
      <c r="BG36" s="66"/>
      <c r="BH36" s="66"/>
      <c r="BI36" s="34">
        <v>0</v>
      </c>
    </row>
    <row r="37" spans="1:61" s="34" customFormat="1" ht="18.75" customHeight="1">
      <c r="A37" s="79"/>
      <c r="B37" s="79"/>
      <c r="C37" s="79"/>
      <c r="D37" s="79"/>
      <c r="E37" s="79"/>
      <c r="F37" s="79"/>
      <c r="G37" s="79"/>
      <c r="H37" s="79"/>
      <c r="I37" s="79"/>
      <c r="J37" s="79"/>
      <c r="K37" s="79"/>
      <c r="L37" s="767"/>
      <c r="M37" s="79"/>
      <c r="N37" s="79"/>
      <c r="O37" s="79"/>
      <c r="P37" s="79"/>
      <c r="Q37" s="79"/>
      <c r="S37" s="1274" t="s">
        <v>422</v>
      </c>
      <c r="T37" s="1274"/>
      <c r="U37" s="770"/>
      <c r="V37" s="1276" t="str">
        <f>IF(TITLE_NUMBER_PR_CHANGE="",IF(TITLE_NUMBER_PR="","",TITLE_NUMBER_PR),TITLE_NUMBER_PR_CHANGE)</f>
        <v>2496</v>
      </c>
      <c r="W37" s="1276"/>
      <c r="X37" s="1276"/>
      <c r="Y37" s="1276"/>
      <c r="Z37" s="1276"/>
      <c r="AA37" s="1276"/>
      <c r="AB37" s="1276"/>
      <c r="AC37" s="10"/>
      <c r="AD37" s="1276" t="str">
        <f>IF(TITLE_NUMBER_PR_CHANGE="",IF(TITLE_NUMBER_PR="","",TITLE_NUMBER_PR),TITLE_NUMBER_PR_CHANGE)</f>
        <v>2496</v>
      </c>
      <c r="AE37" s="1276"/>
      <c r="AF37" s="1276"/>
      <c r="AG37" s="1276"/>
      <c r="AH37" s="1276"/>
      <c r="AI37" s="1276"/>
      <c r="AJ37" s="1276"/>
      <c r="AK37" s="1276"/>
      <c r="AL37" s="1276"/>
      <c r="AM37" s="1276"/>
      <c r="AN37" s="1276"/>
      <c r="AO37" s="1276"/>
      <c r="AP37" s="1276"/>
      <c r="AQ37" s="1276"/>
      <c r="AR37" s="1276"/>
      <c r="AS37" s="1276"/>
      <c r="AT37" s="1276"/>
      <c r="AU37" s="1276"/>
      <c r="AV37" s="1276"/>
      <c r="AW37" s="1276"/>
      <c r="AX37" s="1276"/>
      <c r="AY37" s="1276"/>
      <c r="AZ37" s="1276"/>
      <c r="BA37" s="10"/>
      <c r="BB37" s="10"/>
      <c r="BC37" s="160"/>
      <c r="BD37" s="66"/>
      <c r="BE37" s="66"/>
      <c r="BF37" s="66"/>
      <c r="BG37" s="66"/>
      <c r="BH37" s="66"/>
      <c r="BI37" s="34">
        <v>0</v>
      </c>
    </row>
    <row r="38" spans="1:61" s="34" customFormat="1" ht="0" hidden="1" customHeight="1">
      <c r="A38" s="79"/>
      <c r="B38" s="79"/>
      <c r="C38" s="79"/>
      <c r="D38" s="79"/>
      <c r="E38" s="79"/>
      <c r="F38" s="79"/>
      <c r="G38" s="79"/>
      <c r="H38" s="79"/>
      <c r="I38" s="79"/>
      <c r="J38" s="79"/>
      <c r="K38" s="79"/>
      <c r="L38" s="767"/>
      <c r="M38" s="79"/>
      <c r="N38" s="79"/>
      <c r="O38" s="79"/>
      <c r="P38" s="79"/>
      <c r="Q38" s="79"/>
      <c r="S38" s="10"/>
      <c r="T38" s="10"/>
      <c r="U38" s="75"/>
      <c r="V38" s="10"/>
      <c r="W38" s="10"/>
      <c r="X38" s="10"/>
      <c r="Y38" s="10"/>
      <c r="Z38" s="10"/>
      <c r="AA38" s="10"/>
      <c r="AB38" s="10"/>
      <c r="AC38" s="65" t="s">
        <v>425</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5" t="s">
        <v>425</v>
      </c>
      <c r="BD38" s="66"/>
      <c r="BE38" s="66"/>
      <c r="BF38" s="66"/>
      <c r="BG38" s="66"/>
      <c r="BH38" s="66"/>
      <c r="BI38" s="34">
        <v>0</v>
      </c>
    </row>
    <row r="39" spans="1:61" ht="14.65" customHeight="1">
      <c r="Q39" s="165"/>
      <c r="R39" s="27"/>
      <c r="S39" s="736"/>
      <c r="T39" s="9"/>
      <c r="U39" s="717"/>
      <c r="V39" s="1295"/>
      <c r="W39" s="1295"/>
      <c r="X39" s="1295"/>
      <c r="Y39" s="1295"/>
      <c r="Z39" s="1295"/>
      <c r="AA39" s="1295"/>
      <c r="AB39" s="1295"/>
      <c r="AC39" s="1295"/>
      <c r="AD39" s="1295"/>
      <c r="AE39" s="1295"/>
      <c r="AF39" s="1295"/>
      <c r="AG39" s="1295"/>
      <c r="AH39" s="1295"/>
      <c r="AI39" s="1295"/>
      <c r="AJ39" s="1295"/>
      <c r="AK39" s="1295"/>
      <c r="AL39" s="1295"/>
      <c r="AM39" s="1295"/>
      <c r="AN39" s="1295"/>
      <c r="AO39" s="1295"/>
      <c r="AP39" s="1295"/>
      <c r="AQ39" s="1295"/>
      <c r="AR39" s="1295"/>
      <c r="AS39" s="1295"/>
      <c r="AT39" s="1295"/>
      <c r="AU39" s="1295"/>
      <c r="AV39" s="1295"/>
      <c r="AW39" s="1295"/>
      <c r="AX39" s="1295"/>
      <c r="AY39" s="1295"/>
      <c r="AZ39" s="1295"/>
      <c r="BA39" s="1295"/>
      <c r="BI39" s="10">
        <v>14</v>
      </c>
    </row>
    <row r="40" spans="1:61" ht="14.65" customHeight="1">
      <c r="Q40" s="165"/>
      <c r="R40" s="27"/>
      <c r="S40" s="1146" t="s">
        <v>300</v>
      </c>
      <c r="T40" s="1146"/>
      <c r="U40" s="1146"/>
      <c r="V40" s="1146"/>
      <c r="W40" s="1146"/>
      <c r="X40" s="1146"/>
      <c r="Y40" s="1146"/>
      <c r="Z40" s="1146"/>
      <c r="AA40" s="1146"/>
      <c r="AB40" s="1146"/>
      <c r="AC40" s="1146"/>
      <c r="AD40" s="1146"/>
      <c r="AE40" s="1146"/>
      <c r="AF40" s="1146"/>
      <c r="AG40" s="1146"/>
      <c r="AH40" s="1146"/>
      <c r="AI40" s="1146"/>
      <c r="AJ40" s="1146"/>
      <c r="AK40" s="1146"/>
      <c r="AL40" s="1146"/>
      <c r="AM40" s="1146"/>
      <c r="AN40" s="1146"/>
      <c r="AO40" s="1146"/>
      <c r="AP40" s="1146"/>
      <c r="AQ40" s="1146"/>
      <c r="AR40" s="1146"/>
      <c r="AS40" s="1146"/>
      <c r="AT40" s="1146"/>
      <c r="AU40" s="1146"/>
      <c r="AV40" s="1146"/>
      <c r="AW40" s="1146"/>
      <c r="AX40" s="1146"/>
      <c r="AY40" s="1146"/>
      <c r="AZ40" s="1146"/>
      <c r="BA40" s="1146"/>
      <c r="BB40" s="1146"/>
      <c r="BC40" s="1146" t="s">
        <v>301</v>
      </c>
      <c r="BI40" s="10">
        <v>14</v>
      </c>
    </row>
    <row r="41" spans="1:61" ht="14.65" customHeight="1">
      <c r="Q41" s="165"/>
      <c r="R41" s="27"/>
      <c r="S41" s="1296" t="s">
        <v>86</v>
      </c>
      <c r="T41" s="1244" t="s">
        <v>506</v>
      </c>
      <c r="U41" s="169"/>
      <c r="V41" s="1297" t="s">
        <v>427</v>
      </c>
      <c r="W41" s="1298"/>
      <c r="X41" s="1298"/>
      <c r="Y41" s="1298"/>
      <c r="Z41" s="1298"/>
      <c r="AA41" s="1298"/>
      <c r="AB41" s="1299"/>
      <c r="AC41" s="1300" t="s">
        <v>428</v>
      </c>
      <c r="AD41" s="1329" t="s">
        <v>507</v>
      </c>
      <c r="AE41" s="1313"/>
      <c r="AF41" s="1313"/>
      <c r="AG41" s="1330"/>
      <c r="AH41" s="1329" t="s">
        <v>508</v>
      </c>
      <c r="AI41" s="1313"/>
      <c r="AJ41" s="1313"/>
      <c r="AK41" s="1330"/>
      <c r="AL41" s="1329" t="s">
        <v>509</v>
      </c>
      <c r="AM41" s="1313"/>
      <c r="AN41" s="1313"/>
      <c r="AO41" s="1330"/>
      <c r="AP41" s="1329" t="s">
        <v>510</v>
      </c>
      <c r="AQ41" s="1313"/>
      <c r="AR41" s="1313"/>
      <c r="AS41" s="1330"/>
      <c r="AT41" s="1297" t="s">
        <v>427</v>
      </c>
      <c r="AU41" s="1298"/>
      <c r="AV41" s="1298"/>
      <c r="AW41" s="1298"/>
      <c r="AX41" s="1298"/>
      <c r="AY41" s="1298"/>
      <c r="AZ41" s="1299"/>
      <c r="BA41" s="1300" t="s">
        <v>428</v>
      </c>
      <c r="BB41" s="1303" t="s">
        <v>430</v>
      </c>
      <c r="BC41" s="1146"/>
      <c r="BI41" s="10">
        <v>14</v>
      </c>
    </row>
    <row r="42" spans="1:61" ht="35.65" customHeight="1">
      <c r="Q42" s="165"/>
      <c r="R42" s="27"/>
      <c r="S42" s="1296"/>
      <c r="T42" s="1244"/>
      <c r="U42" s="604"/>
      <c r="V42" s="1217" t="s">
        <v>511</v>
      </c>
      <c r="W42" s="1218"/>
      <c r="X42" s="1217" t="s">
        <v>512</v>
      </c>
      <c r="Y42" s="1218"/>
      <c r="Z42" s="1217" t="s">
        <v>513</v>
      </c>
      <c r="AA42" s="1325"/>
      <c r="AB42" s="1218"/>
      <c r="AC42" s="1301"/>
      <c r="AD42" s="1331"/>
      <c r="AE42" s="1332"/>
      <c r="AF42" s="1332"/>
      <c r="AG42" s="1344"/>
      <c r="AH42" s="1331"/>
      <c r="AI42" s="1332"/>
      <c r="AJ42" s="1332"/>
      <c r="AK42" s="1344"/>
      <c r="AL42" s="1331"/>
      <c r="AM42" s="1332"/>
      <c r="AN42" s="1332"/>
      <c r="AO42" s="1344"/>
      <c r="AP42" s="1331"/>
      <c r="AQ42" s="1332"/>
      <c r="AR42" s="1332"/>
      <c r="AS42" s="1344"/>
      <c r="AT42" s="1217" t="s">
        <v>511</v>
      </c>
      <c r="AU42" s="1218"/>
      <c r="AV42" s="1217" t="s">
        <v>512</v>
      </c>
      <c r="AW42" s="1218"/>
      <c r="AX42" s="1217" t="s">
        <v>513</v>
      </c>
      <c r="AY42" s="1325"/>
      <c r="AZ42" s="1218"/>
      <c r="BA42" s="1301"/>
      <c r="BB42" s="1304"/>
      <c r="BC42" s="1146"/>
      <c r="BI42" s="10">
        <v>34</v>
      </c>
    </row>
    <row r="43" spans="1:61" ht="14.65" customHeight="1">
      <c r="Q43" s="165"/>
      <c r="R43" s="27"/>
      <c r="S43" s="1296"/>
      <c r="T43" s="1244"/>
      <c r="U43" s="604"/>
      <c r="V43" s="1222"/>
      <c r="W43" s="1223"/>
      <c r="X43" s="1222"/>
      <c r="Y43" s="1223"/>
      <c r="Z43" s="1222"/>
      <c r="AA43" s="1326"/>
      <c r="AB43" s="1223"/>
      <c r="AC43" s="1301"/>
      <c r="AD43" s="1331"/>
      <c r="AE43" s="1332"/>
      <c r="AF43" s="1332"/>
      <c r="AG43" s="1344"/>
      <c r="AH43" s="1331"/>
      <c r="AI43" s="1332"/>
      <c r="AJ43" s="1332"/>
      <c r="AK43" s="1344"/>
      <c r="AL43" s="1331"/>
      <c r="AM43" s="1332"/>
      <c r="AN43" s="1332"/>
      <c r="AO43" s="1344"/>
      <c r="AP43" s="1331"/>
      <c r="AQ43" s="1332"/>
      <c r="AR43" s="1332"/>
      <c r="AS43" s="1344"/>
      <c r="AT43" s="1222"/>
      <c r="AU43" s="1223"/>
      <c r="AV43" s="1222"/>
      <c r="AW43" s="1223"/>
      <c r="AX43" s="1222"/>
      <c r="AY43" s="1326"/>
      <c r="AZ43" s="1223"/>
      <c r="BA43" s="1301"/>
      <c r="BB43" s="1304"/>
      <c r="BC43" s="1146"/>
      <c r="BI43" s="10">
        <v>14</v>
      </c>
    </row>
    <row r="44" spans="1:61" ht="14.65" customHeight="1">
      <c r="A44" s="79"/>
      <c r="B44" s="79" t="s">
        <v>133</v>
      </c>
      <c r="C44" s="79" t="s">
        <v>134</v>
      </c>
      <c r="D44" s="79" t="s">
        <v>135</v>
      </c>
      <c r="E44" s="767" t="s">
        <v>435</v>
      </c>
      <c r="F44" s="767" t="s">
        <v>436</v>
      </c>
      <c r="G44" s="767" t="s">
        <v>437</v>
      </c>
      <c r="H44" s="767" t="s">
        <v>438</v>
      </c>
      <c r="I44" s="767" t="s">
        <v>439</v>
      </c>
      <c r="J44" s="767" t="s">
        <v>440</v>
      </c>
      <c r="K44" s="767" t="s">
        <v>441</v>
      </c>
      <c r="L44" s="767" t="s">
        <v>416</v>
      </c>
      <c r="Q44" s="165"/>
      <c r="R44" s="27"/>
      <c r="S44" s="1296"/>
      <c r="T44" s="1244"/>
      <c r="U44" s="170"/>
      <c r="V44" s="35" t="s">
        <v>475</v>
      </c>
      <c r="W44" s="35" t="s">
        <v>476</v>
      </c>
      <c r="X44" s="35" t="s">
        <v>475</v>
      </c>
      <c r="Y44" s="35" t="s">
        <v>476</v>
      </c>
      <c r="Z44" s="38" t="s">
        <v>444</v>
      </c>
      <c r="AA44" s="1249" t="s">
        <v>445</v>
      </c>
      <c r="AB44" s="1263"/>
      <c r="AC44" s="1302"/>
      <c r="AD44" s="1333"/>
      <c r="AE44" s="1334"/>
      <c r="AF44" s="1334"/>
      <c r="AG44" s="1335"/>
      <c r="AH44" s="1333"/>
      <c r="AI44" s="1334"/>
      <c r="AJ44" s="1334"/>
      <c r="AK44" s="1335"/>
      <c r="AL44" s="1333"/>
      <c r="AM44" s="1334"/>
      <c r="AN44" s="1334"/>
      <c r="AO44" s="1335"/>
      <c r="AP44" s="1333"/>
      <c r="AQ44" s="1334"/>
      <c r="AR44" s="1334"/>
      <c r="AS44" s="1335"/>
      <c r="AT44" s="35" t="s">
        <v>475</v>
      </c>
      <c r="AU44" s="35" t="s">
        <v>476</v>
      </c>
      <c r="AV44" s="35" t="s">
        <v>475</v>
      </c>
      <c r="AW44" s="35" t="s">
        <v>476</v>
      </c>
      <c r="AX44" s="38" t="s">
        <v>444</v>
      </c>
      <c r="AY44" s="1249" t="s">
        <v>445</v>
      </c>
      <c r="AZ44" s="1263"/>
      <c r="BA44" s="1302"/>
      <c r="BB44" s="1305"/>
      <c r="BC44" s="1146"/>
      <c r="BI44" s="10">
        <v>14</v>
      </c>
    </row>
    <row r="45" spans="1:61" s="200" customFormat="1" ht="0" hidden="1" customHeight="1">
      <c r="A45" s="79"/>
      <c r="B45" s="79"/>
      <c r="C45" s="79"/>
      <c r="D45" s="79"/>
      <c r="E45" s="79"/>
      <c r="F45" s="79"/>
      <c r="G45" s="79"/>
      <c r="H45" s="79"/>
      <c r="I45" s="79"/>
      <c r="J45" s="79"/>
      <c r="K45" s="79"/>
      <c r="L45" s="767"/>
      <c r="M45" s="503"/>
      <c r="N45" s="503"/>
      <c r="O45" s="503"/>
      <c r="P45" s="287"/>
      <c r="Q45" s="722"/>
      <c r="R45" s="722">
        <v>1</v>
      </c>
      <c r="S45" s="738" t="s">
        <v>107</v>
      </c>
      <c r="T45" s="723" t="s">
        <v>108</v>
      </c>
      <c r="U45" s="718" t="str">
        <f ca="1">OFFSET(U45,0,-1)</f>
        <v>2</v>
      </c>
      <c r="V45" s="724">
        <f t="shared" ref="V45:AA45" ca="1" si="2">OFFSET(V45,0,-1)+1</f>
        <v>3</v>
      </c>
      <c r="W45" s="724">
        <f t="shared" ca="1" si="2"/>
        <v>4</v>
      </c>
      <c r="X45" s="724">
        <f t="shared" ca="1" si="2"/>
        <v>5</v>
      </c>
      <c r="Y45" s="724">
        <f t="shared" ca="1" si="2"/>
        <v>6</v>
      </c>
      <c r="Z45" s="724">
        <f t="shared" ca="1" si="2"/>
        <v>7</v>
      </c>
      <c r="AA45" s="1294">
        <f t="shared" ca="1" si="2"/>
        <v>8</v>
      </c>
      <c r="AB45" s="1294"/>
      <c r="AC45" s="724">
        <f ca="1">OFFSET(AC45,0,-2)+1</f>
        <v>9</v>
      </c>
      <c r="AD45" s="724">
        <f ca="1">OFFSET(AD45,0,-1)+1</f>
        <v>10</v>
      </c>
      <c r="AE45" s="724"/>
      <c r="AF45" s="724"/>
      <c r="AG45" s="724"/>
      <c r="AH45" s="724"/>
      <c r="AI45" s="724"/>
      <c r="AJ45" s="724"/>
      <c r="AK45" s="724"/>
      <c r="AL45" s="724"/>
      <c r="AM45" s="724"/>
      <c r="AN45" s="724"/>
      <c r="AO45" s="724"/>
      <c r="AP45" s="724"/>
      <c r="AQ45" s="724"/>
      <c r="AR45" s="724"/>
      <c r="AS45" s="724"/>
      <c r="AT45" s="724"/>
      <c r="AU45" s="724"/>
      <c r="AV45" s="724"/>
      <c r="AW45" s="724">
        <f ca="1">OFFSET(AW45,0,-1)+1</f>
        <v>1</v>
      </c>
      <c r="AX45" s="724">
        <f ca="1">OFFSET(AX45,0,-1)+1</f>
        <v>2</v>
      </c>
      <c r="AY45" s="1294">
        <f ca="1">OFFSET(AY45,0,-1)+1</f>
        <v>3</v>
      </c>
      <c r="AZ45" s="1294"/>
      <c r="BA45" s="724">
        <f ca="1">OFFSET(BA45,0,-2)+1</f>
        <v>4</v>
      </c>
      <c r="BB45" s="718">
        <f ca="1">OFFSET(BB45,0,-1)</f>
        <v>4</v>
      </c>
      <c r="BC45" s="724">
        <f ca="1">OFFSET(BC45,0,-1)+1</f>
        <v>5</v>
      </c>
      <c r="BD45" s="65"/>
      <c r="BE45" s="65"/>
      <c r="BF45" s="65"/>
      <c r="BG45" s="65"/>
      <c r="BH45" s="65"/>
      <c r="BI45" s="200">
        <v>0</v>
      </c>
    </row>
    <row r="46" spans="1:61" ht="21.95" customHeight="1">
      <c r="A46" s="766" t="s">
        <v>261</v>
      </c>
      <c r="B46" s="766"/>
      <c r="C46" s="766"/>
      <c r="D46" s="766"/>
      <c r="E46" s="1283">
        <v>1</v>
      </c>
      <c r="F46" s="766"/>
      <c r="G46" s="766"/>
      <c r="H46" s="766"/>
      <c r="I46" s="766"/>
      <c r="J46" s="766"/>
      <c r="K46" s="766"/>
      <c r="L46" s="767"/>
      <c r="M46" s="423"/>
      <c r="N46" s="423"/>
      <c r="O46" s="423"/>
      <c r="Q46" s="59"/>
      <c r="R46" s="204"/>
      <c r="S46" s="706">
        <f>INDEX(PT_DIFFERENTIATION_NUM_NTAR,MATCH(A46,PT_DIFFERENTIATION_NTAR_ID,0))</f>
        <v>0</v>
      </c>
      <c r="T46" s="64" t="s">
        <v>121</v>
      </c>
      <c r="U46" s="168"/>
      <c r="V46" s="1278"/>
      <c r="W46" s="1278"/>
      <c r="X46" s="1278"/>
      <c r="Y46" s="1278"/>
      <c r="Z46" s="1278"/>
      <c r="AA46" s="1278"/>
      <c r="AB46" s="1278"/>
      <c r="AC46" s="1279"/>
      <c r="AD46" s="1277" t="str">
        <f>INDEX(PT_DIFFERENTIATION_NTAR,MATCH(A46,PT_DIFFERENTIATION_NTAR_ID,0))</f>
        <v/>
      </c>
      <c r="AE46" s="1278"/>
      <c r="AF46" s="1278"/>
      <c r="AG46" s="1278"/>
      <c r="AH46" s="1278"/>
      <c r="AI46" s="1278"/>
      <c r="AJ46" s="1278"/>
      <c r="AK46" s="1278"/>
      <c r="AL46" s="1278"/>
      <c r="AM46" s="1278"/>
      <c r="AN46" s="1278"/>
      <c r="AO46" s="1278"/>
      <c r="AP46" s="1278"/>
      <c r="AQ46" s="1278"/>
      <c r="AR46" s="1278"/>
      <c r="AS46" s="1278"/>
      <c r="AT46" s="1278"/>
      <c r="AU46" s="1278"/>
      <c r="AV46" s="1278"/>
      <c r="AW46" s="1278"/>
      <c r="AX46" s="1278"/>
      <c r="AY46" s="1278"/>
      <c r="AZ46" s="1278"/>
      <c r="BA46" s="1278"/>
      <c r="BB46" s="1279"/>
      <c r="BC46" s="7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c r="BI46" s="10">
        <v>21</v>
      </c>
    </row>
    <row r="47" spans="1:61" ht="21.95" customHeight="1">
      <c r="A47" s="766" t="s">
        <v>261</v>
      </c>
      <c r="B47" s="766" t="s">
        <v>262</v>
      </c>
      <c r="C47" s="766"/>
      <c r="D47" s="766"/>
      <c r="E47" s="1284"/>
      <c r="F47" s="1283">
        <v>1</v>
      </c>
      <c r="G47" s="766"/>
      <c r="H47" s="766"/>
      <c r="I47" s="766"/>
      <c r="J47" s="766"/>
      <c r="K47" s="766"/>
      <c r="L47" s="767"/>
      <c r="M47" s="423"/>
      <c r="N47" s="423"/>
      <c r="O47" s="423"/>
      <c r="P47" s="298"/>
      <c r="Q47" s="799"/>
      <c r="R47" s="202"/>
      <c r="S47" s="706" t="str">
        <f>INDEX(PT_DIFFERENTIATION_NUM_TER,MATCH(B47,PT_DIFFERENTIATION_TER_ID,0))</f>
        <v>.</v>
      </c>
      <c r="T47" s="174" t="s">
        <v>397</v>
      </c>
      <c r="U47" s="168"/>
      <c r="V47" s="1278"/>
      <c r="W47" s="1278"/>
      <c r="X47" s="1278"/>
      <c r="Y47" s="1278"/>
      <c r="Z47" s="1278"/>
      <c r="AA47" s="1278"/>
      <c r="AB47" s="1278"/>
      <c r="AC47" s="1279"/>
      <c r="AD47" s="1277" t="str">
        <f>INDEX(PT_DIFFERENTIATION_TER,MATCH(B47,PT_DIFFERENTIATION_TER_ID,0))</f>
        <v/>
      </c>
      <c r="AE47" s="1278"/>
      <c r="AF47" s="1278"/>
      <c r="AG47" s="1278"/>
      <c r="AH47" s="1278"/>
      <c r="AI47" s="1278"/>
      <c r="AJ47" s="1278"/>
      <c r="AK47" s="1278"/>
      <c r="AL47" s="1278"/>
      <c r="AM47" s="1278"/>
      <c r="AN47" s="1278"/>
      <c r="AO47" s="1278"/>
      <c r="AP47" s="1278"/>
      <c r="AQ47" s="1278"/>
      <c r="AR47" s="1278"/>
      <c r="AS47" s="1278"/>
      <c r="AT47" s="1278"/>
      <c r="AU47" s="1278"/>
      <c r="AV47" s="1278"/>
      <c r="AW47" s="1278"/>
      <c r="AX47" s="1278"/>
      <c r="AY47" s="1278"/>
      <c r="AZ47" s="1278"/>
      <c r="BA47" s="1278"/>
      <c r="BB47" s="1279"/>
      <c r="BC47" s="726" t="s">
        <v>398</v>
      </c>
      <c r="BE47" s="66"/>
      <c r="BF47" s="66" t="str">
        <f t="shared" si="3"/>
        <v>Территория действия тарифа</v>
      </c>
      <c r="BG47" s="66"/>
      <c r="BH47" s="66"/>
      <c r="BI47" s="10">
        <v>21</v>
      </c>
    </row>
    <row r="48" spans="1:61" ht="35.65" customHeight="1">
      <c r="A48" s="766" t="s">
        <v>261</v>
      </c>
      <c r="B48" s="766" t="s">
        <v>262</v>
      </c>
      <c r="C48" s="766" t="s">
        <v>263</v>
      </c>
      <c r="D48" s="766"/>
      <c r="E48" s="1284"/>
      <c r="F48" s="1284"/>
      <c r="G48" s="1283">
        <v>1</v>
      </c>
      <c r="H48" s="766"/>
      <c r="I48" s="766"/>
      <c r="J48" s="766"/>
      <c r="K48" s="766"/>
      <c r="L48" s="767"/>
      <c r="M48" s="423"/>
      <c r="N48" s="423"/>
      <c r="O48" s="423"/>
      <c r="P48" s="128"/>
      <c r="Q48" s="799"/>
      <c r="R48" s="202"/>
      <c r="S48" s="706" t="str">
        <f>INDEX(PT_DIFFERENTIATION_NUM_CS,MATCH(C48,PT_DIFFERENTIATION_CS_ID,0))</f>
        <v>..</v>
      </c>
      <c r="T48" s="175" t="s">
        <v>529</v>
      </c>
      <c r="U48" s="168"/>
      <c r="V48" s="1278"/>
      <c r="W48" s="1278"/>
      <c r="X48" s="1278"/>
      <c r="Y48" s="1278"/>
      <c r="Z48" s="1278"/>
      <c r="AA48" s="1278"/>
      <c r="AB48" s="1278"/>
      <c r="AC48" s="1279"/>
      <c r="AD48" s="1277" t="str">
        <f>INDEX(PT_DIFFERENTIATION_CS,MATCH(C48,PT_DIFFERENTIATION_CS_ID,0))</f>
        <v/>
      </c>
      <c r="AE48" s="1278"/>
      <c r="AF48" s="1278"/>
      <c r="AG48" s="1278"/>
      <c r="AH48" s="1278"/>
      <c r="AI48" s="1278"/>
      <c r="AJ48" s="1278"/>
      <c r="AK48" s="1278"/>
      <c r="AL48" s="1278"/>
      <c r="AM48" s="1278"/>
      <c r="AN48" s="1278"/>
      <c r="AO48" s="1278"/>
      <c r="AP48" s="1278"/>
      <c r="AQ48" s="1278"/>
      <c r="AR48" s="1278"/>
      <c r="AS48" s="1278"/>
      <c r="AT48" s="1278"/>
      <c r="AU48" s="1278"/>
      <c r="AV48" s="1278"/>
      <c r="AW48" s="1278"/>
      <c r="AX48" s="1278"/>
      <c r="AY48" s="1278"/>
      <c r="AZ48" s="1278"/>
      <c r="BA48" s="1278"/>
      <c r="BB48" s="1279"/>
      <c r="BC48" s="726" t="s">
        <v>530</v>
      </c>
      <c r="BE48" s="66"/>
      <c r="BF48" s="66" t="str">
        <f t="shared" si="3"/>
        <v>Наименование централизованной системы горячего водоснабжения</v>
      </c>
      <c r="BG48" s="66"/>
      <c r="BH48" s="66"/>
      <c r="BI48" s="10">
        <v>34</v>
      </c>
    </row>
    <row r="49" spans="1:61" s="65" customFormat="1" ht="0" hidden="1" customHeight="1">
      <c r="A49" s="142" t="s">
        <v>261</v>
      </c>
      <c r="B49" s="142" t="s">
        <v>262</v>
      </c>
      <c r="C49" s="142" t="s">
        <v>263</v>
      </c>
      <c r="D49" s="142" t="s">
        <v>543</v>
      </c>
      <c r="E49" s="1284"/>
      <c r="F49" s="1284"/>
      <c r="G49" s="1284"/>
      <c r="H49" s="1283">
        <v>1</v>
      </c>
      <c r="I49" s="142"/>
      <c r="J49" s="142"/>
      <c r="K49" s="142"/>
      <c r="L49" s="343"/>
      <c r="M49" s="290"/>
      <c r="N49" s="290"/>
      <c r="O49" s="290"/>
      <c r="P49" s="818"/>
      <c r="Q49" s="819"/>
      <c r="R49" s="206"/>
      <c r="S49" s="359"/>
      <c r="T49" s="820"/>
      <c r="U49" s="777"/>
      <c r="V49" s="1315"/>
      <c r="W49" s="1315"/>
      <c r="X49" s="1315"/>
      <c r="Y49" s="1315"/>
      <c r="Z49" s="1315"/>
      <c r="AA49" s="1315"/>
      <c r="AB49" s="1315"/>
      <c r="AC49" s="1316"/>
      <c r="AD49" s="1314"/>
      <c r="AE49" s="1315"/>
      <c r="AF49" s="1315"/>
      <c r="AG49" s="1315"/>
      <c r="AH49" s="1315"/>
      <c r="AI49" s="1315"/>
      <c r="AJ49" s="1315"/>
      <c r="AK49" s="1315"/>
      <c r="AL49" s="1315"/>
      <c r="AM49" s="1315"/>
      <c r="AN49" s="1315"/>
      <c r="AO49" s="1315"/>
      <c r="AP49" s="1315"/>
      <c r="AQ49" s="1315"/>
      <c r="AR49" s="1315"/>
      <c r="AS49" s="1315"/>
      <c r="AT49" s="1315"/>
      <c r="AU49" s="1315"/>
      <c r="AV49" s="1315"/>
      <c r="AW49" s="1315"/>
      <c r="AX49" s="1315"/>
      <c r="AY49" s="1315"/>
      <c r="AZ49" s="1315"/>
      <c r="BA49" s="1315"/>
      <c r="BB49" s="1316"/>
      <c r="BC49" s="778" t="s">
        <v>402</v>
      </c>
      <c r="BE49" s="66"/>
      <c r="BF49" s="66" t="str">
        <f t="shared" si="3"/>
        <v/>
      </c>
      <c r="BG49" s="66"/>
      <c r="BH49" s="66"/>
      <c r="BI49" s="65">
        <v>0</v>
      </c>
    </row>
    <row r="50" spans="1:61" s="65" customFormat="1" ht="0" hidden="1" customHeight="1">
      <c r="A50" s="142" t="s">
        <v>261</v>
      </c>
      <c r="B50" s="142" t="s">
        <v>262</v>
      </c>
      <c r="C50" s="142" t="s">
        <v>263</v>
      </c>
      <c r="D50" s="142" t="s">
        <v>543</v>
      </c>
      <c r="E50" s="1284"/>
      <c r="F50" s="1284"/>
      <c r="G50" s="1284"/>
      <c r="H50" s="1284"/>
      <c r="I50" s="1285" t="str">
        <f>S49&amp;".1"</f>
        <v>.1</v>
      </c>
      <c r="J50" s="142"/>
      <c r="K50" s="142"/>
      <c r="L50" s="343" t="s">
        <v>403</v>
      </c>
      <c r="M50" s="287"/>
      <c r="N50" s="287"/>
      <c r="O50" s="287"/>
      <c r="P50" s="1287">
        <v>1</v>
      </c>
      <c r="Q50" s="119"/>
      <c r="R50" s="205"/>
      <c r="S50" s="359"/>
      <c r="T50" s="776"/>
      <c r="U50" s="777"/>
      <c r="V50" s="1315"/>
      <c r="W50" s="1315"/>
      <c r="X50" s="1315"/>
      <c r="Y50" s="1315"/>
      <c r="Z50" s="1315"/>
      <c r="AA50" s="1315"/>
      <c r="AB50" s="1315"/>
      <c r="AC50" s="1316"/>
      <c r="AD50" s="1314"/>
      <c r="AE50" s="1315"/>
      <c r="AF50" s="1315"/>
      <c r="AG50" s="1315"/>
      <c r="AH50" s="1315"/>
      <c r="AI50" s="1315"/>
      <c r="AJ50" s="1315"/>
      <c r="AK50" s="1315"/>
      <c r="AL50" s="1315"/>
      <c r="AM50" s="1315"/>
      <c r="AN50" s="1315"/>
      <c r="AO50" s="1315"/>
      <c r="AP50" s="1315"/>
      <c r="AQ50" s="1315"/>
      <c r="AR50" s="1315"/>
      <c r="AS50" s="1315"/>
      <c r="AT50" s="1315"/>
      <c r="AU50" s="1315"/>
      <c r="AV50" s="1315"/>
      <c r="AW50" s="1315"/>
      <c r="AX50" s="1315"/>
      <c r="AY50" s="1315"/>
      <c r="AZ50" s="1315"/>
      <c r="BA50" s="1315"/>
      <c r="BB50" s="1316"/>
      <c r="BC50" s="778"/>
      <c r="BE50" s="66"/>
      <c r="BF50" s="66" t="str">
        <f t="shared" si="3"/>
        <v/>
      </c>
      <c r="BG50" s="66"/>
      <c r="BH50" s="66"/>
      <c r="BI50" s="65">
        <v>0</v>
      </c>
    </row>
    <row r="51" spans="1:61" s="65" customFormat="1" ht="0" hidden="1" customHeight="1">
      <c r="A51" s="142" t="s">
        <v>261</v>
      </c>
      <c r="B51" s="142" t="s">
        <v>262</v>
      </c>
      <c r="C51" s="142" t="s">
        <v>263</v>
      </c>
      <c r="D51" s="142" t="s">
        <v>543</v>
      </c>
      <c r="E51" s="1284"/>
      <c r="F51" s="1284"/>
      <c r="G51" s="1284"/>
      <c r="H51" s="1284"/>
      <c r="I51" s="1286"/>
      <c r="J51" s="1285" t="str">
        <f>S49&amp;".1"</f>
        <v>.1</v>
      </c>
      <c r="K51" s="142"/>
      <c r="L51" s="343"/>
      <c r="M51" s="287"/>
      <c r="N51" s="287"/>
      <c r="O51" s="287"/>
      <c r="P51" s="1287"/>
      <c r="Q51" s="1287">
        <v>1</v>
      </c>
      <c r="R51" s="206"/>
      <c r="S51" s="359"/>
      <c r="T51" s="791"/>
      <c r="U51" s="777"/>
      <c r="V51" s="1315"/>
      <c r="W51" s="1315"/>
      <c r="X51" s="1315"/>
      <c r="Y51" s="1315"/>
      <c r="Z51" s="1315"/>
      <c r="AA51" s="1315"/>
      <c r="AB51" s="1315"/>
      <c r="AC51" s="1316"/>
      <c r="AD51" s="1314"/>
      <c r="AE51" s="1315"/>
      <c r="AF51" s="1315"/>
      <c r="AG51" s="1315"/>
      <c r="AH51" s="1315"/>
      <c r="AI51" s="1315"/>
      <c r="AJ51" s="1315"/>
      <c r="AK51" s="1315"/>
      <c r="AL51" s="1315"/>
      <c r="AM51" s="1315"/>
      <c r="AN51" s="1366"/>
      <c r="AO51" s="1366"/>
      <c r="AP51" s="1315"/>
      <c r="AQ51" s="1315"/>
      <c r="AR51" s="1315"/>
      <c r="AS51" s="1315"/>
      <c r="AT51" s="1315"/>
      <c r="AU51" s="1315"/>
      <c r="AV51" s="1315"/>
      <c r="AW51" s="1315"/>
      <c r="AX51" s="1315"/>
      <c r="AY51" s="1315"/>
      <c r="AZ51" s="1315"/>
      <c r="BA51" s="1315"/>
      <c r="BB51" s="1316"/>
      <c r="BC51" s="778"/>
      <c r="BE51" s="66"/>
      <c r="BF51" s="66" t="str">
        <f t="shared" si="3"/>
        <v/>
      </c>
      <c r="BG51" s="66"/>
      <c r="BH51" s="66"/>
      <c r="BI51" s="65">
        <v>0</v>
      </c>
    </row>
    <row r="52" spans="1:61" ht="11.45" customHeight="1">
      <c r="A52" s="766" t="s">
        <v>261</v>
      </c>
      <c r="B52" s="766" t="s">
        <v>262</v>
      </c>
      <c r="C52" s="766" t="s">
        <v>263</v>
      </c>
      <c r="D52" s="766" t="s">
        <v>543</v>
      </c>
      <c r="E52" s="1284"/>
      <c r="F52" s="1284"/>
      <c r="G52" s="1284"/>
      <c r="H52" s="1284"/>
      <c r="I52" s="1286"/>
      <c r="J52" s="1286"/>
      <c r="K52" s="1285" t="str">
        <f>S48&amp;".1"</f>
        <v>...1</v>
      </c>
      <c r="L52" s="767"/>
      <c r="P52" s="1287"/>
      <c r="Q52" s="1287"/>
      <c r="R52" s="206">
        <v>1</v>
      </c>
      <c r="S52" s="1340" t="str">
        <f>$K52</f>
        <v>...1</v>
      </c>
      <c r="T52" s="1360"/>
      <c r="U52" s="168"/>
      <c r="V52" s="303"/>
      <c r="W52" s="725"/>
      <c r="X52" s="303"/>
      <c r="Y52" s="725"/>
      <c r="Z52" s="942"/>
      <c r="AA52" s="294" t="s">
        <v>64</v>
      </c>
      <c r="AB52" s="942"/>
      <c r="AC52" s="294" t="s">
        <v>64</v>
      </c>
      <c r="AD52" s="1212" t="s">
        <v>64</v>
      </c>
      <c r="AE52" s="1336"/>
      <c r="AF52" s="1240">
        <v>1</v>
      </c>
      <c r="AG52" s="1359"/>
      <c r="AH52" s="1156" t="s">
        <v>64</v>
      </c>
      <c r="AI52" s="1336"/>
      <c r="AJ52" s="1240">
        <v>1</v>
      </c>
      <c r="AK52" s="1350" t="s">
        <v>28</v>
      </c>
      <c r="AL52" s="1156" t="s">
        <v>64</v>
      </c>
      <c r="AM52" s="1217"/>
      <c r="AN52" s="1240">
        <v>1</v>
      </c>
      <c r="AO52" s="1363"/>
      <c r="AP52" s="1364" t="s">
        <v>64</v>
      </c>
      <c r="AQ52" s="177"/>
      <c r="AR52" s="265">
        <v>1</v>
      </c>
      <c r="AS52" s="116" t="s">
        <v>28</v>
      </c>
      <c r="AT52" s="303"/>
      <c r="AU52" s="725"/>
      <c r="AV52" s="303"/>
      <c r="AW52" s="725"/>
      <c r="AX52" s="942"/>
      <c r="AY52" s="294" t="s">
        <v>64</v>
      </c>
      <c r="AZ52" s="942"/>
      <c r="BA52" s="294" t="s">
        <v>64</v>
      </c>
      <c r="BB52" s="763"/>
      <c r="BC52" s="1306" t="s">
        <v>500</v>
      </c>
      <c r="BE52" s="66"/>
      <c r="BF52" s="66" t="str">
        <f t="shared" si="3"/>
        <v/>
      </c>
      <c r="BG52" s="66"/>
      <c r="BH52" s="66"/>
      <c r="BI52" s="10">
        <v>11</v>
      </c>
    </row>
    <row r="53" spans="1:61" ht="11.45" customHeight="1">
      <c r="A53" s="766"/>
      <c r="B53" s="766"/>
      <c r="C53" s="766"/>
      <c r="D53" s="766"/>
      <c r="E53" s="1284"/>
      <c r="F53" s="1284"/>
      <c r="G53" s="1284"/>
      <c r="H53" s="1284"/>
      <c r="I53" s="1286"/>
      <c r="J53" s="1286"/>
      <c r="K53" s="1285"/>
      <c r="L53" s="767"/>
      <c r="P53" s="1287"/>
      <c r="Q53" s="1287"/>
      <c r="R53" s="206"/>
      <c r="S53" s="1341"/>
      <c r="T53" s="1361"/>
      <c r="U53" s="168"/>
      <c r="V53" s="786"/>
      <c r="W53" s="817"/>
      <c r="X53" s="786"/>
      <c r="Y53" s="817"/>
      <c r="Z53" s="786"/>
      <c r="AA53" s="786"/>
      <c r="AB53" s="786"/>
      <c r="AC53" s="786"/>
      <c r="AD53" s="1213"/>
      <c r="AE53" s="1336"/>
      <c r="AF53" s="1240"/>
      <c r="AG53" s="1359"/>
      <c r="AH53" s="1156"/>
      <c r="AI53" s="1336"/>
      <c r="AJ53" s="1240"/>
      <c r="AK53" s="1350"/>
      <c r="AL53" s="1156"/>
      <c r="AM53" s="1222"/>
      <c r="AN53" s="1240"/>
      <c r="AO53" s="1363"/>
      <c r="AP53" s="1365"/>
      <c r="AQ53" s="181"/>
      <c r="AR53" s="51"/>
      <c r="AS53" s="51" t="s">
        <v>501</v>
      </c>
      <c r="AT53" s="786"/>
      <c r="AU53" s="817"/>
      <c r="AV53" s="786"/>
      <c r="AW53" s="817"/>
      <c r="AX53" s="786"/>
      <c r="AY53" s="786"/>
      <c r="AZ53" s="786"/>
      <c r="BA53" s="786"/>
      <c r="BB53" s="790"/>
      <c r="BC53" s="1307"/>
      <c r="BE53" s="66"/>
      <c r="BF53" s="66"/>
      <c r="BG53" s="66"/>
      <c r="BH53" s="66"/>
      <c r="BI53" s="10">
        <v>11</v>
      </c>
    </row>
    <row r="54" spans="1:61" ht="11.45" customHeight="1">
      <c r="A54" s="766" t="s">
        <v>261</v>
      </c>
      <c r="B54" s="766"/>
      <c r="C54" s="766"/>
      <c r="D54" s="766"/>
      <c r="E54" s="1284"/>
      <c r="F54" s="1284"/>
      <c r="G54" s="1284"/>
      <c r="H54" s="1284"/>
      <c r="I54" s="1286"/>
      <c r="J54" s="1286"/>
      <c r="K54" s="1285"/>
      <c r="L54" s="767"/>
      <c r="P54" s="1287"/>
      <c r="Q54" s="1287"/>
      <c r="R54" s="206"/>
      <c r="S54" s="1341"/>
      <c r="T54" s="1361"/>
      <c r="U54" s="168"/>
      <c r="V54" s="786"/>
      <c r="W54" s="817"/>
      <c r="X54" s="786"/>
      <c r="Y54" s="817"/>
      <c r="Z54" s="786"/>
      <c r="AA54" s="786"/>
      <c r="AB54" s="786"/>
      <c r="AC54" s="786"/>
      <c r="AD54" s="1213"/>
      <c r="AE54" s="1336"/>
      <c r="AF54" s="1240"/>
      <c r="AG54" s="1359"/>
      <c r="AH54" s="1156"/>
      <c r="AI54" s="1336"/>
      <c r="AJ54" s="1240"/>
      <c r="AK54" s="1350"/>
      <c r="AL54" s="1156"/>
      <c r="AM54" s="181"/>
      <c r="AN54" s="821"/>
      <c r="AO54" s="821" t="s">
        <v>502</v>
      </c>
      <c r="AP54" s="51"/>
      <c r="AQ54" s="51"/>
      <c r="AR54" s="51"/>
      <c r="AS54" s="786"/>
      <c r="AT54" s="786"/>
      <c r="AU54" s="817"/>
      <c r="AV54" s="786"/>
      <c r="AW54" s="817"/>
      <c r="AX54" s="786"/>
      <c r="AY54" s="786"/>
      <c r="AZ54" s="786"/>
      <c r="BA54" s="786"/>
      <c r="BB54" s="790"/>
      <c r="BC54" s="1307"/>
      <c r="BE54" s="66"/>
      <c r="BF54" s="66"/>
      <c r="BG54" s="66"/>
      <c r="BH54" s="66"/>
      <c r="BI54" s="10">
        <v>11</v>
      </c>
    </row>
    <row r="55" spans="1:61" ht="11.45" customHeight="1">
      <c r="A55" s="766" t="s">
        <v>261</v>
      </c>
      <c r="B55" s="766"/>
      <c r="C55" s="766"/>
      <c r="D55" s="766"/>
      <c r="E55" s="1284"/>
      <c r="F55" s="1284"/>
      <c r="G55" s="1284"/>
      <c r="H55" s="1284"/>
      <c r="I55" s="1286"/>
      <c r="J55" s="1286"/>
      <c r="K55" s="1285"/>
      <c r="L55" s="767"/>
      <c r="P55" s="1287"/>
      <c r="Q55" s="1287"/>
      <c r="R55" s="206"/>
      <c r="S55" s="1341"/>
      <c r="T55" s="1361"/>
      <c r="U55" s="168"/>
      <c r="V55" s="786"/>
      <c r="W55" s="817"/>
      <c r="X55" s="786"/>
      <c r="Y55" s="817"/>
      <c r="Z55" s="786"/>
      <c r="AA55" s="786"/>
      <c r="AB55" s="786"/>
      <c r="AC55" s="786"/>
      <c r="AD55" s="1213"/>
      <c r="AE55" s="1336"/>
      <c r="AF55" s="1240"/>
      <c r="AG55" s="1359"/>
      <c r="AH55" s="1156"/>
      <c r="AI55" s="166"/>
      <c r="AJ55" s="107"/>
      <c r="AK55" s="179" t="s">
        <v>503</v>
      </c>
      <c r="AL55" s="786"/>
      <c r="AM55" s="786"/>
      <c r="AN55" s="786"/>
      <c r="AO55" s="786"/>
      <c r="AP55" s="786"/>
      <c r="AQ55" s="786"/>
      <c r="AR55" s="786"/>
      <c r="AS55" s="786"/>
      <c r="AT55" s="786"/>
      <c r="AU55" s="817"/>
      <c r="AV55" s="786"/>
      <c r="AW55" s="817"/>
      <c r="AX55" s="786"/>
      <c r="AY55" s="786"/>
      <c r="AZ55" s="786"/>
      <c r="BA55" s="786"/>
      <c r="BB55" s="790"/>
      <c r="BC55" s="1307"/>
      <c r="BE55" s="66"/>
      <c r="BF55" s="66"/>
      <c r="BG55" s="66"/>
      <c r="BH55" s="66"/>
      <c r="BI55" s="10">
        <v>11</v>
      </c>
    </row>
    <row r="56" spans="1:61" ht="11.45" customHeight="1">
      <c r="A56" s="766" t="s">
        <v>261</v>
      </c>
      <c r="B56" s="766" t="s">
        <v>262</v>
      </c>
      <c r="C56" s="766" t="s">
        <v>263</v>
      </c>
      <c r="D56" s="766" t="s">
        <v>543</v>
      </c>
      <c r="E56" s="1284"/>
      <c r="F56" s="1284"/>
      <c r="G56" s="1284"/>
      <c r="H56" s="1284"/>
      <c r="I56" s="1286"/>
      <c r="J56" s="1286"/>
      <c r="K56" s="1285"/>
      <c r="L56" s="767"/>
      <c r="P56" s="1287"/>
      <c r="Q56" s="1287"/>
      <c r="R56" s="206"/>
      <c r="S56" s="1342"/>
      <c r="T56" s="1362"/>
      <c r="U56" s="168"/>
      <c r="V56" s="786"/>
      <c r="W56" s="787" t="str">
        <f>Z52&amp;"-"&amp;AB52</f>
        <v>-</v>
      </c>
      <c r="X56" s="786"/>
      <c r="Y56" s="787" t="str">
        <f>AB52&amp;"-"&amp;AD52</f>
        <v>-да</v>
      </c>
      <c r="Z56" s="786"/>
      <c r="AA56" s="786"/>
      <c r="AB56" s="786"/>
      <c r="AC56" s="786"/>
      <c r="AD56" s="1161"/>
      <c r="AE56" s="178"/>
      <c r="AF56" s="180"/>
      <c r="AG56" s="51" t="s">
        <v>504</v>
      </c>
      <c r="AH56" s="786"/>
      <c r="AI56" s="786"/>
      <c r="AJ56" s="786"/>
      <c r="AK56" s="786"/>
      <c r="AL56" s="786"/>
      <c r="AM56" s="786"/>
      <c r="AN56" s="786"/>
      <c r="AO56" s="786"/>
      <c r="AP56" s="786"/>
      <c r="AQ56" s="786"/>
      <c r="AR56" s="786"/>
      <c r="AS56" s="786"/>
      <c r="AT56" s="786"/>
      <c r="AU56" s="787" t="str">
        <f>AX52&amp;"-"&amp;AZ52</f>
        <v>-</v>
      </c>
      <c r="AV56" s="786"/>
      <c r="AW56" s="787" t="str">
        <f>AZ52&amp;"-"&amp;BB52</f>
        <v>-</v>
      </c>
      <c r="AX56" s="786"/>
      <c r="AY56" s="786"/>
      <c r="AZ56" s="786"/>
      <c r="BA56" s="786"/>
      <c r="BB56" s="789" t="str">
        <f>BE52&amp;"-"&amp;BG52</f>
        <v>-</v>
      </c>
      <c r="BC56" s="1307"/>
      <c r="BE56" s="66"/>
      <c r="BF56" s="66" t="str">
        <f t="shared" ref="BF56:BF63" si="4">IF(T56="","",T56)</f>
        <v/>
      </c>
      <c r="BG56" s="66"/>
      <c r="BH56" s="66"/>
      <c r="BI56" s="10">
        <v>11</v>
      </c>
    </row>
    <row r="57" spans="1:61" ht="11.45" customHeight="1">
      <c r="A57" s="766" t="s">
        <v>261</v>
      </c>
      <c r="B57" s="766" t="s">
        <v>262</v>
      </c>
      <c r="C57" s="766" t="s">
        <v>263</v>
      </c>
      <c r="D57" s="766" t="s">
        <v>543</v>
      </c>
      <c r="E57" s="1284"/>
      <c r="F57" s="1284"/>
      <c r="G57" s="1284"/>
      <c r="H57" s="1284"/>
      <c r="I57" s="1286"/>
      <c r="J57" s="1285"/>
      <c r="K57" s="766"/>
      <c r="L57" s="767"/>
      <c r="P57" s="1287"/>
      <c r="Q57" s="1287"/>
      <c r="R57" s="205"/>
      <c r="S57" s="739"/>
      <c r="T57" s="163" t="s">
        <v>465</v>
      </c>
      <c r="U57" s="210"/>
      <c r="V57" s="210"/>
      <c r="W57" s="210"/>
      <c r="X57" s="210"/>
      <c r="Y57" s="210"/>
      <c r="Z57" s="210"/>
      <c r="AA57" s="210"/>
      <c r="AB57" s="210"/>
      <c r="AC57" s="187"/>
      <c r="AD57" s="825"/>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187"/>
      <c r="BC57" s="1308"/>
      <c r="BE57" s="66"/>
      <c r="BF57" s="66" t="str">
        <f t="shared" si="4"/>
        <v>Добавить строку</v>
      </c>
      <c r="BG57" s="66"/>
      <c r="BH57" s="66"/>
      <c r="BI57" s="10">
        <v>11</v>
      </c>
    </row>
    <row r="58" spans="1:61" s="65" customFormat="1" ht="0" hidden="1" customHeight="1">
      <c r="A58" s="142" t="s">
        <v>261</v>
      </c>
      <c r="B58" s="142" t="s">
        <v>262</v>
      </c>
      <c r="C58" s="142" t="s">
        <v>263</v>
      </c>
      <c r="D58" s="142" t="s">
        <v>543</v>
      </c>
      <c r="E58" s="1284"/>
      <c r="F58" s="1284"/>
      <c r="G58" s="1284"/>
      <c r="H58" s="1284"/>
      <c r="I58" s="1285"/>
      <c r="J58" s="142"/>
      <c r="K58" s="142"/>
      <c r="L58" s="343"/>
      <c r="M58" s="287"/>
      <c r="N58" s="287"/>
      <c r="O58" s="287"/>
      <c r="P58" s="1287"/>
      <c r="Q58" s="119"/>
      <c r="R58" s="205"/>
      <c r="S58" s="779"/>
      <c r="T58" s="780"/>
      <c r="U58" s="781"/>
      <c r="V58" s="781"/>
      <c r="W58" s="781"/>
      <c r="X58" s="781"/>
      <c r="Y58" s="781"/>
      <c r="Z58" s="781"/>
      <c r="AA58" s="781"/>
      <c r="AB58" s="781"/>
      <c r="AC58" s="781"/>
      <c r="AD58" s="781"/>
      <c r="AE58" s="781"/>
      <c r="AF58" s="781"/>
      <c r="AG58" s="781"/>
      <c r="AH58" s="781"/>
      <c r="AI58" s="781"/>
      <c r="AJ58" s="781"/>
      <c r="AK58" s="781"/>
      <c r="AL58" s="781"/>
      <c r="AM58" s="781"/>
      <c r="AN58" s="781"/>
      <c r="AO58" s="781"/>
      <c r="AP58" s="781"/>
      <c r="AQ58" s="781"/>
      <c r="AR58" s="781"/>
      <c r="AS58" s="781"/>
      <c r="AT58" s="781"/>
      <c r="AU58" s="781"/>
      <c r="AV58" s="781"/>
      <c r="AW58" s="781"/>
      <c r="AX58" s="781"/>
      <c r="AY58" s="781"/>
      <c r="AZ58" s="781"/>
      <c r="BA58" s="781"/>
      <c r="BB58" s="781"/>
      <c r="BC58" s="782"/>
      <c r="BE58" s="66"/>
      <c r="BF58" s="66" t="str">
        <f t="shared" si="4"/>
        <v/>
      </c>
      <c r="BG58" s="66"/>
      <c r="BH58" s="66"/>
      <c r="BI58" s="65">
        <v>0</v>
      </c>
    </row>
    <row r="59" spans="1:61" s="65" customFormat="1" ht="0" hidden="1" customHeight="1">
      <c r="A59" s="142" t="s">
        <v>261</v>
      </c>
      <c r="B59" s="142" t="s">
        <v>262</v>
      </c>
      <c r="C59" s="142" t="s">
        <v>263</v>
      </c>
      <c r="D59" s="142" t="s">
        <v>543</v>
      </c>
      <c r="E59" s="1284"/>
      <c r="F59" s="1284"/>
      <c r="G59" s="1284"/>
      <c r="H59" s="1283"/>
      <c r="I59" s="142"/>
      <c r="J59" s="142"/>
      <c r="K59" s="142"/>
      <c r="L59" s="343"/>
      <c r="M59" s="290"/>
      <c r="N59" s="290"/>
      <c r="P59" s="101"/>
      <c r="Q59" s="752"/>
      <c r="R59" s="793"/>
      <c r="S59" s="779"/>
      <c r="T59" s="780"/>
      <c r="U59" s="781"/>
      <c r="V59" s="781"/>
      <c r="W59" s="781"/>
      <c r="X59" s="781"/>
      <c r="Y59" s="781"/>
      <c r="Z59" s="781"/>
      <c r="AA59" s="781"/>
      <c r="AB59" s="781"/>
      <c r="AC59" s="781"/>
      <c r="AD59" s="781"/>
      <c r="AE59" s="781"/>
      <c r="AF59" s="781"/>
      <c r="AG59" s="781"/>
      <c r="AH59" s="781"/>
      <c r="AI59" s="781"/>
      <c r="AJ59" s="781"/>
      <c r="AK59" s="781"/>
      <c r="AL59" s="781"/>
      <c r="AM59" s="781"/>
      <c r="AN59" s="781"/>
      <c r="AO59" s="781"/>
      <c r="AP59" s="781"/>
      <c r="AQ59" s="781"/>
      <c r="AR59" s="781"/>
      <c r="AS59" s="781"/>
      <c r="AT59" s="781"/>
      <c r="AU59" s="781"/>
      <c r="AV59" s="781"/>
      <c r="AW59" s="781"/>
      <c r="AX59" s="781"/>
      <c r="AY59" s="781"/>
      <c r="AZ59" s="781"/>
      <c r="BA59" s="781"/>
      <c r="BB59" s="781"/>
      <c r="BC59" s="782"/>
      <c r="BE59" s="66"/>
      <c r="BF59" s="66" t="str">
        <f t="shared" si="4"/>
        <v/>
      </c>
      <c r="BG59" s="66"/>
      <c r="BH59" s="66"/>
      <c r="BI59" s="65">
        <v>0</v>
      </c>
    </row>
    <row r="60" spans="1:61" s="65" customFormat="1" ht="0" hidden="1" customHeight="1">
      <c r="A60" s="142" t="s">
        <v>261</v>
      </c>
      <c r="B60" s="142" t="s">
        <v>262</v>
      </c>
      <c r="C60" s="142" t="s">
        <v>263</v>
      </c>
      <c r="D60" s="142"/>
      <c r="E60" s="1284"/>
      <c r="F60" s="1284"/>
      <c r="G60" s="1283"/>
      <c r="H60" s="142"/>
      <c r="I60" s="142"/>
      <c r="J60" s="142"/>
      <c r="K60" s="142"/>
      <c r="L60" s="343"/>
      <c r="M60" s="290"/>
      <c r="N60" s="290"/>
      <c r="P60" s="101"/>
      <c r="Q60" s="752"/>
      <c r="R60" s="101"/>
      <c r="S60" s="757"/>
      <c r="T60" s="759"/>
      <c r="U60" s="310"/>
      <c r="V60" s="310"/>
      <c r="W60" s="310"/>
      <c r="X60" s="310"/>
      <c r="Y60" s="310"/>
      <c r="Z60" s="310"/>
      <c r="AA60" s="310"/>
      <c r="AB60" s="310"/>
      <c r="AC60" s="310"/>
      <c r="AD60" s="310"/>
      <c r="AE60" s="310"/>
      <c r="AF60" s="310"/>
      <c r="AG60" s="310"/>
      <c r="AH60" s="310"/>
      <c r="AI60" s="310"/>
      <c r="AJ60" s="310"/>
      <c r="AK60" s="310"/>
      <c r="AL60" s="310"/>
      <c r="AM60" s="310"/>
      <c r="AN60" s="310"/>
      <c r="AO60" s="310"/>
      <c r="AP60" s="310"/>
      <c r="AQ60" s="310"/>
      <c r="AR60" s="310"/>
      <c r="AS60" s="310"/>
      <c r="AT60" s="310"/>
      <c r="AU60" s="310"/>
      <c r="AV60" s="310"/>
      <c r="AW60" s="310"/>
      <c r="AX60" s="310"/>
      <c r="AY60" s="310"/>
      <c r="AZ60" s="310"/>
      <c r="BA60" s="310"/>
      <c r="BB60" s="310"/>
      <c r="BC60" s="310"/>
      <c r="BE60" s="66"/>
      <c r="BF60" s="66" t="str">
        <f t="shared" si="4"/>
        <v/>
      </c>
      <c r="BG60" s="66"/>
      <c r="BH60" s="66"/>
      <c r="BI60" s="65">
        <v>0</v>
      </c>
    </row>
    <row r="61" spans="1:61" s="65" customFormat="1" ht="0" hidden="1" customHeight="1">
      <c r="A61" s="142" t="s">
        <v>261</v>
      </c>
      <c r="B61" s="142" t="s">
        <v>262</v>
      </c>
      <c r="C61" s="142"/>
      <c r="D61" s="142"/>
      <c r="E61" s="1284"/>
      <c r="F61" s="1283"/>
      <c r="G61" s="142"/>
      <c r="H61" s="142"/>
      <c r="I61" s="142"/>
      <c r="J61" s="142"/>
      <c r="K61" s="142"/>
      <c r="L61" s="343"/>
      <c r="M61" s="756"/>
      <c r="N61" s="756"/>
      <c r="P61" s="101"/>
      <c r="Q61" s="752"/>
      <c r="R61" s="101"/>
      <c r="S61" s="757"/>
      <c r="T61" s="759" t="s">
        <v>231</v>
      </c>
      <c r="U61" s="310"/>
      <c r="V61" s="310"/>
      <c r="W61" s="310"/>
      <c r="X61" s="310"/>
      <c r="Y61" s="310"/>
      <c r="Z61" s="310"/>
      <c r="AA61" s="310"/>
      <c r="AB61" s="310"/>
      <c r="AC61" s="310"/>
      <c r="AD61" s="310"/>
      <c r="AE61" s="310"/>
      <c r="AF61" s="310"/>
      <c r="AG61" s="310"/>
      <c r="AH61" s="310"/>
      <c r="AI61" s="310"/>
      <c r="AJ61" s="310"/>
      <c r="AK61" s="310"/>
      <c r="AL61" s="310"/>
      <c r="AM61" s="310"/>
      <c r="AN61" s="310"/>
      <c r="AO61" s="310"/>
      <c r="AP61" s="310"/>
      <c r="AQ61" s="310"/>
      <c r="AR61" s="310"/>
      <c r="AS61" s="310"/>
      <c r="AT61" s="310"/>
      <c r="AU61" s="310"/>
      <c r="AV61" s="310"/>
      <c r="AW61" s="310"/>
      <c r="AX61" s="310"/>
      <c r="AY61" s="310"/>
      <c r="AZ61" s="310"/>
      <c r="BA61" s="310"/>
      <c r="BB61" s="310"/>
      <c r="BC61" s="310"/>
      <c r="BE61" s="66"/>
      <c r="BF61" s="66" t="str">
        <f t="shared" si="4"/>
        <v>Добавить централизованную систему для дифференциации</v>
      </c>
      <c r="BG61" s="66"/>
      <c r="BH61" s="66"/>
      <c r="BI61" s="65">
        <v>0</v>
      </c>
    </row>
    <row r="62" spans="1:61" s="65" customFormat="1" ht="0" hidden="1" customHeight="1">
      <c r="A62" s="142" t="s">
        <v>261</v>
      </c>
      <c r="B62" s="142"/>
      <c r="C62" s="142"/>
      <c r="D62" s="142"/>
      <c r="E62" s="1283"/>
      <c r="F62" s="142"/>
      <c r="G62" s="142"/>
      <c r="H62" s="142"/>
      <c r="I62" s="142"/>
      <c r="J62" s="142"/>
      <c r="K62" s="142"/>
      <c r="L62" s="343"/>
      <c r="M62" s="756"/>
      <c r="N62" s="756"/>
      <c r="P62" s="101"/>
      <c r="Q62" s="752"/>
      <c r="R62" s="101"/>
      <c r="S62" s="757"/>
      <c r="T62" s="759" t="s">
        <v>232</v>
      </c>
      <c r="U62" s="310"/>
      <c r="V62" s="310"/>
      <c r="W62" s="310"/>
      <c r="X62" s="310"/>
      <c r="Y62" s="310"/>
      <c r="Z62" s="310"/>
      <c r="AA62" s="310"/>
      <c r="AB62" s="310"/>
      <c r="AC62" s="310"/>
      <c r="AD62" s="310"/>
      <c r="AE62" s="310"/>
      <c r="AF62" s="310"/>
      <c r="AG62" s="310"/>
      <c r="AH62" s="310"/>
      <c r="AI62" s="310"/>
      <c r="AJ62" s="310"/>
      <c r="AK62" s="310"/>
      <c r="AL62" s="310"/>
      <c r="AM62" s="310"/>
      <c r="AN62" s="310"/>
      <c r="AO62" s="310"/>
      <c r="AP62" s="310"/>
      <c r="AQ62" s="310"/>
      <c r="AR62" s="310"/>
      <c r="AS62" s="310"/>
      <c r="AT62" s="310"/>
      <c r="AU62" s="310"/>
      <c r="AV62" s="310"/>
      <c r="AW62" s="310"/>
      <c r="AX62" s="310"/>
      <c r="AY62" s="310"/>
      <c r="AZ62" s="310"/>
      <c r="BA62" s="310"/>
      <c r="BB62" s="310"/>
      <c r="BC62" s="310"/>
      <c r="BE62" s="66"/>
      <c r="BF62" s="66" t="str">
        <f t="shared" si="4"/>
        <v>Добавить территорию для дифференциации</v>
      </c>
      <c r="BG62" s="66"/>
      <c r="BH62" s="66"/>
      <c r="BI62" s="65">
        <v>0</v>
      </c>
    </row>
    <row r="63" spans="1:61" s="65" customFormat="1" ht="0" hidden="1" customHeight="1">
      <c r="A63" s="142"/>
      <c r="B63" s="142"/>
      <c r="C63" s="142"/>
      <c r="D63" s="142"/>
      <c r="E63" s="142"/>
      <c r="F63" s="142"/>
      <c r="G63" s="142"/>
      <c r="H63" s="142"/>
      <c r="I63" s="142"/>
      <c r="J63" s="142"/>
      <c r="K63" s="142"/>
      <c r="L63" s="343"/>
      <c r="M63" s="756"/>
      <c r="N63" s="756"/>
      <c r="P63" s="101"/>
      <c r="Q63" s="752"/>
      <c r="R63" s="101"/>
      <c r="S63" s="757"/>
      <c r="T63" s="759" t="s">
        <v>233</v>
      </c>
      <c r="U63" s="310"/>
      <c r="V63" s="310"/>
      <c r="W63" s="310"/>
      <c r="X63" s="310"/>
      <c r="Y63" s="310"/>
      <c r="Z63" s="310"/>
      <c r="AA63" s="310"/>
      <c r="AB63" s="310"/>
      <c r="AC63" s="310"/>
      <c r="AD63" s="310"/>
      <c r="AE63" s="310"/>
      <c r="AF63" s="310"/>
      <c r="AG63" s="310"/>
      <c r="AH63" s="310"/>
      <c r="AI63" s="310"/>
      <c r="AJ63" s="310"/>
      <c r="AK63" s="310"/>
      <c r="AL63" s="310"/>
      <c r="AM63" s="310"/>
      <c r="AN63" s="310"/>
      <c r="AO63" s="310"/>
      <c r="AP63" s="310"/>
      <c r="AQ63" s="310"/>
      <c r="AR63" s="310"/>
      <c r="AS63" s="310"/>
      <c r="AT63" s="310"/>
      <c r="AU63" s="310"/>
      <c r="AV63" s="310"/>
      <c r="AW63" s="310"/>
      <c r="AX63" s="310"/>
      <c r="AY63" s="310"/>
      <c r="AZ63" s="310"/>
      <c r="BA63" s="310"/>
      <c r="BB63" s="310"/>
      <c r="BC63" s="310"/>
      <c r="BE63" s="66"/>
      <c r="BF63" s="66" t="str">
        <f t="shared" si="4"/>
        <v>Добавить наименование тарифа</v>
      </c>
      <c r="BG63" s="66"/>
      <c r="BH63" s="66"/>
      <c r="BI63" s="65">
        <v>0</v>
      </c>
    </row>
    <row r="64" spans="1:61" ht="11.45" customHeight="1">
      <c r="M64" s="60"/>
      <c r="N64" s="60"/>
      <c r="O64" s="60"/>
      <c r="P64" s="60"/>
      <c r="Q64" s="60"/>
      <c r="R64" s="10"/>
      <c r="S64" s="10"/>
      <c r="BD64" s="10"/>
      <c r="BE64" s="10"/>
      <c r="BF64" s="10"/>
      <c r="BG64" s="10"/>
      <c r="BH64" s="10"/>
      <c r="BI64" s="10">
        <v>11</v>
      </c>
    </row>
    <row r="65" spans="1:61" ht="19.899999999999999" customHeight="1">
      <c r="O65" s="60"/>
      <c r="S65" s="195"/>
      <c r="T65" s="1282"/>
      <c r="U65" s="1282"/>
      <c r="V65" s="1282"/>
      <c r="W65" s="1282"/>
      <c r="X65" s="1282"/>
      <c r="Y65" s="1282"/>
      <c r="Z65" s="1282"/>
      <c r="AA65" s="1282"/>
      <c r="AB65" s="1282"/>
      <c r="AC65" s="1282"/>
      <c r="AD65" s="1282"/>
      <c r="AE65" s="1282"/>
      <c r="AF65" s="1282"/>
      <c r="AG65" s="1282"/>
      <c r="AH65" s="1282"/>
      <c r="AI65" s="1282"/>
      <c r="AJ65" s="1282"/>
      <c r="AK65" s="1282"/>
      <c r="AL65" s="1282"/>
      <c r="AM65" s="1282"/>
      <c r="AN65" s="1282"/>
      <c r="AO65" s="1282"/>
      <c r="AP65" s="1282"/>
      <c r="AQ65" s="1282"/>
      <c r="AR65" s="1282"/>
      <c r="AS65" s="1282"/>
      <c r="AT65" s="1282"/>
      <c r="AU65" s="1282"/>
      <c r="AV65" s="1282"/>
      <c r="AW65" s="1282"/>
      <c r="AX65" s="1282"/>
      <c r="AY65" s="1282"/>
      <c r="AZ65" s="1282"/>
      <c r="BA65" s="1282"/>
      <c r="BB65" s="1282"/>
      <c r="BC65" s="1282"/>
      <c r="BI65" s="10">
        <v>19</v>
      </c>
    </row>
    <row r="66" spans="1:61" ht="14.65" customHeight="1">
      <c r="O66" s="60"/>
      <c r="T66" s="370"/>
      <c r="U66" s="370"/>
      <c r="V66" s="370"/>
      <c r="W66" s="370"/>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0"/>
      <c r="AZ66" s="370"/>
      <c r="BA66" s="370"/>
      <c r="BB66" s="370"/>
      <c r="BC66" s="370"/>
      <c r="BI66" s="10">
        <v>14</v>
      </c>
    </row>
    <row r="67" spans="1:61" ht="19.899999999999999" customHeight="1">
      <c r="O67" s="60"/>
      <c r="S67" s="195"/>
      <c r="T67" s="1282"/>
      <c r="U67" s="1282"/>
      <c r="V67" s="1282"/>
      <c r="W67" s="1282"/>
      <c r="X67" s="1282"/>
      <c r="Y67" s="1282"/>
      <c r="Z67" s="1282"/>
      <c r="AA67" s="1282"/>
      <c r="AB67" s="1282"/>
      <c r="AC67" s="1282"/>
      <c r="AD67" s="1282"/>
      <c r="AE67" s="1282"/>
      <c r="AF67" s="1282"/>
      <c r="AG67" s="1282"/>
      <c r="AH67" s="1282"/>
      <c r="AI67" s="1282"/>
      <c r="AJ67" s="1282"/>
      <c r="AK67" s="1282"/>
      <c r="AL67" s="1282"/>
      <c r="AM67" s="1282"/>
      <c r="AN67" s="1282"/>
      <c r="AO67" s="1282"/>
      <c r="AP67" s="1282"/>
      <c r="AQ67" s="1282"/>
      <c r="AR67" s="1282"/>
      <c r="AS67" s="1282"/>
      <c r="AT67" s="1282"/>
      <c r="AU67" s="1282"/>
      <c r="AV67" s="1282"/>
      <c r="AW67" s="1282"/>
      <c r="AX67" s="1282"/>
      <c r="AY67" s="1282"/>
      <c r="AZ67" s="1282"/>
      <c r="BA67" s="1282"/>
      <c r="BB67" s="1282"/>
      <c r="BC67" s="1282"/>
      <c r="BI67" s="10">
        <v>19</v>
      </c>
    </row>
    <row r="68" spans="1:61" ht="14.65" customHeight="1">
      <c r="O68" s="60"/>
      <c r="BI68" s="10">
        <v>14</v>
      </c>
    </row>
    <row r="69" spans="1:61" ht="14.25" hidden="1" customHeight="1">
      <c r="A69" s="60" t="s">
        <v>80</v>
      </c>
      <c r="B69" s="60">
        <v>0</v>
      </c>
      <c r="C69" s="60">
        <v>0</v>
      </c>
      <c r="D69" s="60">
        <v>0</v>
      </c>
      <c r="E69" s="60">
        <v>0</v>
      </c>
      <c r="F69" s="60">
        <v>0</v>
      </c>
      <c r="G69" s="60">
        <v>0</v>
      </c>
      <c r="H69" s="60">
        <v>0</v>
      </c>
      <c r="I69" s="60">
        <v>0</v>
      </c>
      <c r="J69" s="60">
        <v>0</v>
      </c>
      <c r="K69" s="60">
        <v>0</v>
      </c>
      <c r="L69" s="298">
        <v>0</v>
      </c>
      <c r="M69" s="503">
        <v>0</v>
      </c>
      <c r="N69" s="503">
        <v>0</v>
      </c>
      <c r="O69" s="503">
        <v>0</v>
      </c>
      <c r="P69" s="503">
        <v>0</v>
      </c>
      <c r="Q69" s="769">
        <v>0</v>
      </c>
      <c r="R69" s="28">
        <v>3</v>
      </c>
      <c r="S69" s="339">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5">
        <v>10</v>
      </c>
      <c r="BE69" s="65">
        <v>10</v>
      </c>
      <c r="BF69" s="65">
        <v>10</v>
      </c>
      <c r="BG69" s="65">
        <v>10</v>
      </c>
      <c r="BH69" s="65">
        <v>10</v>
      </c>
      <c r="BI69" s="1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569" hidden="1" customWidth="1"/>
    <col min="2" max="2" width="16.85546875" style="60" hidden="1" customWidth="1"/>
    <col min="3" max="3" width="5.5703125" style="65" hidden="1" customWidth="1"/>
    <col min="4" max="4" width="3" style="10" customWidth="1"/>
    <col min="5" max="5" width="7" style="10" customWidth="1"/>
    <col min="6" max="6" width="54" style="10" customWidth="1"/>
    <col min="7" max="7" width="10" style="10" customWidth="1"/>
    <col min="8" max="8" width="40.7109375" style="10" hidden="1" customWidth="1"/>
    <col min="9" max="9" width="40.7109375" style="10" customWidth="1"/>
    <col min="10" max="10" width="102" style="10" customWidth="1"/>
    <col min="11" max="11" width="9" style="60" customWidth="1"/>
    <col min="12" max="12" width="5" style="65" customWidth="1"/>
    <col min="13" max="13" width="3" style="65" customWidth="1"/>
    <col min="14" max="17" width="3" style="60" customWidth="1"/>
    <col min="18" max="18" width="10" style="65" customWidth="1"/>
    <col min="19" max="19" width="34" style="60" customWidth="1"/>
    <col min="20" max="20" width="9" style="60" customWidth="1"/>
    <col min="21" max="21" width="8" style="306" customWidth="1"/>
    <col min="22" max="26" width="8" style="60" customWidth="1"/>
    <col min="27" max="31" width="8" style="7" customWidth="1"/>
    <col min="32" max="32" width="9.140625" style="10" hidden="1"/>
  </cols>
  <sheetData>
    <row r="1" spans="1:32" ht="22.5" hidden="1" customHeight="1">
      <c r="AF1" s="10" t="s">
        <v>14</v>
      </c>
    </row>
    <row r="2" spans="1:32" ht="23.25" hidden="1" customHeight="1">
      <c r="B2" s="1131"/>
      <c r="C2" s="310" t="s">
        <v>544</v>
      </c>
      <c r="D2" s="53"/>
      <c r="E2" s="308">
        <f>B2</f>
        <v>0</v>
      </c>
      <c r="F2" s="309"/>
      <c r="G2" s="40" t="s">
        <v>545</v>
      </c>
      <c r="H2" s="40" t="s">
        <v>545</v>
      </c>
      <c r="I2" s="40" t="s">
        <v>545</v>
      </c>
      <c r="J2" s="64" t="s">
        <v>546</v>
      </c>
      <c r="K2" s="305"/>
      <c r="AF2" s="10">
        <v>0</v>
      </c>
    </row>
    <row r="3" spans="1:32" s="65" customFormat="1" ht="0.75" hidden="1" customHeight="1">
      <c r="B3" s="1131"/>
      <c r="C3" s="310"/>
      <c r="D3" s="310"/>
      <c r="E3" s="311"/>
      <c r="F3" s="312" t="s">
        <v>547</v>
      </c>
      <c r="G3" s="313"/>
      <c r="H3" s="313">
        <f>H4*H5+H7</f>
        <v>0</v>
      </c>
      <c r="I3" s="313">
        <f>I4*I5+I6</f>
        <v>0</v>
      </c>
      <c r="J3" s="314"/>
      <c r="AF3" s="65">
        <v>0</v>
      </c>
    </row>
    <row r="4" spans="1:32" ht="23.25" hidden="1" customHeight="1">
      <c r="B4" s="1131"/>
      <c r="C4" s="310"/>
      <c r="D4" s="53"/>
      <c r="E4" s="308" t="str">
        <f>B2&amp;".1"</f>
        <v>.1</v>
      </c>
      <c r="F4" s="315" t="s">
        <v>548</v>
      </c>
      <c r="G4" s="316"/>
      <c r="H4" s="303"/>
      <c r="I4" s="303"/>
      <c r="J4" s="64" t="s">
        <v>549</v>
      </c>
      <c r="K4" s="305"/>
      <c r="AF4" s="10">
        <v>0</v>
      </c>
    </row>
    <row r="5" spans="1:32" ht="18.75" hidden="1" customHeight="1">
      <c r="B5" s="1131"/>
      <c r="C5" s="310"/>
      <c r="D5" s="53"/>
      <c r="E5" s="308" t="str">
        <f>B2&amp;".2"</f>
        <v>.2</v>
      </c>
      <c r="F5" s="315" t="s">
        <v>550</v>
      </c>
      <c r="G5" s="40" t="s">
        <v>551</v>
      </c>
      <c r="H5" s="303"/>
      <c r="I5" s="303"/>
      <c r="J5" s="64"/>
      <c r="K5" s="305"/>
      <c r="AF5" s="10">
        <v>0</v>
      </c>
    </row>
    <row r="6" spans="1:32" ht="18.75" hidden="1" customHeight="1">
      <c r="B6" s="1131"/>
      <c r="C6" s="310"/>
      <c r="D6" s="53"/>
      <c r="E6" s="308" t="str">
        <f>B2&amp;".3"</f>
        <v>.3</v>
      </c>
      <c r="F6" s="315" t="s">
        <v>552</v>
      </c>
      <c r="G6" s="40" t="s">
        <v>551</v>
      </c>
      <c r="H6" s="303"/>
      <c r="I6" s="303"/>
      <c r="J6" s="64"/>
      <c r="K6" s="305"/>
      <c r="AF6" s="10">
        <v>0</v>
      </c>
    </row>
    <row r="7" spans="1:32" ht="18.75" hidden="1" customHeight="1">
      <c r="B7" s="1131"/>
      <c r="C7" s="310"/>
      <c r="D7" s="53"/>
      <c r="E7" s="308" t="str">
        <f>B2&amp;".4"</f>
        <v>.4</v>
      </c>
      <c r="F7" s="315" t="s">
        <v>553</v>
      </c>
      <c r="G7" s="40" t="s">
        <v>545</v>
      </c>
      <c r="H7" s="317"/>
      <c r="I7" s="317"/>
      <c r="J7" s="64"/>
      <c r="K7" s="305"/>
      <c r="AF7" s="10">
        <v>0</v>
      </c>
    </row>
    <row r="8" spans="1:32" s="60" customFormat="1" ht="11.25" hidden="1" customHeight="1">
      <c r="A8" s="569"/>
      <c r="C8" s="65"/>
      <c r="H8" s="60">
        <v>4</v>
      </c>
      <c r="I8" s="60">
        <v>4</v>
      </c>
      <c r="L8" s="65"/>
      <c r="M8" s="65"/>
      <c r="R8" s="65"/>
      <c r="AF8" s="60">
        <v>0</v>
      </c>
    </row>
    <row r="9" spans="1:32" s="60" customFormat="1" ht="22.5" hidden="1" customHeight="1">
      <c r="A9" s="569"/>
      <c r="C9" s="65"/>
      <c r="D9" s="301"/>
      <c r="E9" s="40"/>
      <c r="F9" s="302"/>
      <c r="G9" s="40" t="s">
        <v>551</v>
      </c>
      <c r="H9" s="303"/>
      <c r="I9" s="303"/>
      <c r="J9" s="304" t="s">
        <v>554</v>
      </c>
      <c r="K9" s="305"/>
      <c r="L9" s="65"/>
      <c r="M9" s="65"/>
      <c r="R9" s="65"/>
      <c r="U9" s="306"/>
      <c r="AA9" s="7"/>
      <c r="AB9" s="7"/>
      <c r="AC9" s="7"/>
      <c r="AD9" s="7"/>
      <c r="AE9" s="7"/>
      <c r="AF9" s="60">
        <v>0</v>
      </c>
    </row>
    <row r="10" spans="1:32" ht="11.25" hidden="1" customHeight="1">
      <c r="AF10" s="10">
        <v>0</v>
      </c>
    </row>
    <row r="11" spans="1:32" ht="18.75" hidden="1" customHeight="1">
      <c r="D11" s="53"/>
      <c r="E11" s="308"/>
      <c r="F11" s="302"/>
      <c r="G11" s="40" t="s">
        <v>555</v>
      </c>
      <c r="H11" s="303"/>
      <c r="I11" s="303"/>
      <c r="J11" s="64" t="s">
        <v>556</v>
      </c>
      <c r="K11" s="305"/>
      <c r="AF11" s="10">
        <v>0</v>
      </c>
    </row>
    <row r="12" spans="1:32" ht="11.25" hidden="1" customHeight="1">
      <c r="AF12" s="10">
        <v>0</v>
      </c>
    </row>
    <row r="13" spans="1:32" ht="22.5" hidden="1" customHeight="1">
      <c r="D13" s="53"/>
      <c r="E13" s="308"/>
      <c r="F13" s="302"/>
      <c r="G13" s="392" t="s">
        <v>557</v>
      </c>
      <c r="H13" s="307"/>
      <c r="I13" s="307"/>
      <c r="J13" s="430" t="s">
        <v>558</v>
      </c>
      <c r="K13" s="305"/>
      <c r="AF13" s="10">
        <v>0</v>
      </c>
    </row>
    <row r="14" spans="1:32" ht="11.25" hidden="1" customHeight="1">
      <c r="AF14" s="10">
        <v>0</v>
      </c>
    </row>
    <row r="15" spans="1:32" ht="22.5" hidden="1" customHeight="1">
      <c r="D15" s="53"/>
      <c r="E15" s="308"/>
      <c r="F15" s="302"/>
      <c r="G15" s="40" t="s">
        <v>559</v>
      </c>
      <c r="H15" s="307"/>
      <c r="I15" s="307"/>
      <c r="J15" s="64" t="s">
        <v>560</v>
      </c>
      <c r="K15" s="305"/>
      <c r="AF15" s="10">
        <v>0</v>
      </c>
    </row>
    <row r="16" spans="1:32" ht="11.25" hidden="1" customHeight="1">
      <c r="AF16" s="10">
        <v>0</v>
      </c>
    </row>
    <row r="17" spans="1:32" ht="22.5" hidden="1" customHeight="1">
      <c r="D17" s="53"/>
      <c r="E17" s="308"/>
      <c r="F17" s="302"/>
      <c r="G17" s="40" t="s">
        <v>561</v>
      </c>
      <c r="H17" s="307"/>
      <c r="I17" s="307"/>
      <c r="J17" s="64" t="s">
        <v>562</v>
      </c>
      <c r="K17" s="305"/>
      <c r="AF17" s="10">
        <v>0</v>
      </c>
    </row>
    <row r="18" spans="1:32" ht="11.25" hidden="1" customHeight="1">
      <c r="AF18" s="10">
        <v>0</v>
      </c>
    </row>
    <row r="19" spans="1:32" s="7" customFormat="1" ht="11.25" hidden="1" customHeight="1">
      <c r="A19" s="569"/>
      <c r="B19" s="60"/>
      <c r="C19" s="65"/>
      <c r="J19" s="7">
        <v>4</v>
      </c>
      <c r="K19" s="60"/>
      <c r="L19" s="65"/>
      <c r="M19" s="65"/>
      <c r="N19" s="60"/>
      <c r="O19" s="60"/>
      <c r="P19" s="60"/>
      <c r="Q19" s="60"/>
      <c r="R19" s="65"/>
      <c r="S19" s="60"/>
      <c r="T19" s="60"/>
      <c r="U19" s="306"/>
      <c r="V19" s="60"/>
      <c r="W19" s="60"/>
      <c r="X19" s="60"/>
      <c r="Y19" s="60"/>
      <c r="Z19" s="60"/>
      <c r="AF19" s="7">
        <v>0</v>
      </c>
    </row>
    <row r="20" spans="1:32" ht="11.45" customHeight="1">
      <c r="AF20" s="10">
        <v>11</v>
      </c>
    </row>
    <row r="21" spans="1:32" ht="25.15" customHeight="1">
      <c r="E21" s="126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264"/>
      <c r="G21" s="1264"/>
      <c r="H21" s="1264"/>
      <c r="I21" s="1264"/>
      <c r="J21" s="57"/>
      <c r="AF21" s="10">
        <v>24</v>
      </c>
    </row>
    <row r="22" spans="1:32" ht="25.15" customHeight="1">
      <c r="E22" s="1236" t="str">
        <f>IF(org=0,"Не определено",org)</f>
        <v>Общество с ограниченной ответственностью "Березовский рудник"</v>
      </c>
      <c r="F22" s="1236"/>
      <c r="G22" s="1236"/>
      <c r="H22" s="1236"/>
      <c r="I22" s="1236"/>
      <c r="AF22" s="10">
        <v>24</v>
      </c>
    </row>
    <row r="23" spans="1:32" ht="11.45" customHeight="1">
      <c r="E23" s="664"/>
      <c r="F23" s="664"/>
      <c r="G23" s="664"/>
      <c r="H23" s="664"/>
      <c r="I23" s="664"/>
      <c r="AF23" s="10">
        <v>11</v>
      </c>
    </row>
    <row r="24" spans="1:32" s="65" customFormat="1" ht="1.1499999999999999" customHeight="1">
      <c r="A24" s="310"/>
      <c r="H24" s="511"/>
      <c r="I24" s="511" t="s">
        <v>115</v>
      </c>
      <c r="AF24" s="65">
        <v>1</v>
      </c>
    </row>
    <row r="25" spans="1:32" ht="11.45" customHeight="1">
      <c r="E25" s="406"/>
      <c r="F25" s="1370" t="s">
        <v>103</v>
      </c>
      <c r="G25" s="1371"/>
      <c r="H25" s="856" t="str">
        <f>IF(H24="","",INDEX(DIFFERENTIATION_UNMERGE_VD,MATCH(H24,DIFFERENTIATION_ID_DIFF,0)))</f>
        <v/>
      </c>
      <c r="I25" s="856">
        <f>IF(I24="","",INDEX(DIFFERENTIATION_UNMERGE_VD,MATCH(I24,DIFFERENTIATION_ID_DIFF,0)))</f>
        <v>0</v>
      </c>
      <c r="J25" s="1146"/>
      <c r="AF25" s="10">
        <v>11</v>
      </c>
    </row>
    <row r="26" spans="1:32" ht="11.45" customHeight="1">
      <c r="E26" s="406"/>
      <c r="F26" s="1370" t="s">
        <v>563</v>
      </c>
      <c r="G26" s="1371"/>
      <c r="H26" s="856" t="str">
        <f>IF(H24="","",INDEX(DIFFERENTIATION_UNMERGE_AREA,MATCH(H24,DIFFERENTIATION_ID_DIFF,0)))</f>
        <v/>
      </c>
      <c r="I26" s="856" t="str">
        <f>IF(I24="","",INDEX(DIFFERENTIATION_UNMERGE_AREA,MATCH(I24,DIFFERENTIATION_ID_DIFF,0)))</f>
        <v/>
      </c>
      <c r="J26" s="1146"/>
      <c r="AF26" s="10">
        <v>11</v>
      </c>
    </row>
    <row r="27" spans="1:32" ht="11.45" customHeight="1">
      <c r="E27" s="406"/>
      <c r="F27" s="1370" t="s">
        <v>564</v>
      </c>
      <c r="G27" s="1371"/>
      <c r="H27" s="856" t="str">
        <f>IF(H24="","",INDEX(DIFFERENTIATION_UNMERGE_SYSTEM,MATCH(H24,DIFFERENTIATION_ID_DIFF,0)))</f>
        <v/>
      </c>
      <c r="I27" s="856" t="str">
        <f>IF(I24="","",INDEX(DIFFERENTIATION_UNMERGE_SYSTEM,MATCH(I24,DIFFERENTIATION_ID_DIFF,0)))</f>
        <v>без дифференциации</v>
      </c>
      <c r="J27" s="1146"/>
      <c r="AF27" s="10">
        <v>11</v>
      </c>
    </row>
    <row r="28" spans="1:32" ht="11.45" customHeight="1">
      <c r="E28" s="1372" t="s">
        <v>300</v>
      </c>
      <c r="F28" s="1373"/>
      <c r="G28" s="1373"/>
      <c r="H28" s="509"/>
      <c r="I28" s="509"/>
      <c r="J28" s="1146"/>
      <c r="AF28" s="10">
        <v>11</v>
      </c>
    </row>
    <row r="29" spans="1:32" ht="24" customHeight="1">
      <c r="E29" s="40" t="s">
        <v>86</v>
      </c>
      <c r="F29" s="40" t="s">
        <v>302</v>
      </c>
      <c r="G29" s="40" t="s">
        <v>565</v>
      </c>
      <c r="H29" s="40" t="s">
        <v>303</v>
      </c>
      <c r="I29" s="40" t="s">
        <v>303</v>
      </c>
      <c r="J29" s="1146"/>
      <c r="AF29" s="10">
        <v>23</v>
      </c>
    </row>
    <row r="30" spans="1:32" ht="19.899999999999999" customHeight="1">
      <c r="D30" s="53"/>
      <c r="E30" s="308">
        <f>FHD_NUM_P_1</f>
        <v>1</v>
      </c>
      <c r="F30" s="150" t="str">
        <f>FHD_P_1</f>
        <v>Выручка от регулируемых видов деятельности в сфере холодного водоснабжения</v>
      </c>
      <c r="G30" s="40" t="s">
        <v>551</v>
      </c>
      <c r="H30" s="318"/>
      <c r="I30" s="318"/>
      <c r="J30" s="64" t="str">
        <f>FHD_NOTE_P_1</f>
        <v>Указывается выручка с распределением по видам деятельности.</v>
      </c>
      <c r="K30" s="305"/>
      <c r="AF30" s="10">
        <v>19</v>
      </c>
    </row>
    <row r="31" spans="1:32" ht="11.45" customHeight="1">
      <c r="D31" s="53"/>
      <c r="E31" s="308">
        <f>FHD_NUM_P_2</f>
        <v>2</v>
      </c>
      <c r="F31" s="150" t="str">
        <f>FHD_P_2</f>
        <v>Себестоимость производимых товаров (оказываемых услуг) по регулируемым видам деятельности в сфере холодного водоснабжения, включая:</v>
      </c>
      <c r="G31" s="40" t="s">
        <v>551</v>
      </c>
      <c r="H31" s="319">
        <f>SUMIF($K33:$K71,$K31,H33:H71)</f>
        <v>0</v>
      </c>
      <c r="I31" s="319">
        <f>SUMIF($K33:$K71,$K31,I33:I71)</f>
        <v>0</v>
      </c>
      <c r="J31" s="64" t="str">
        <f>FHD_NOTE_P_2</f>
        <v>Указывается суммарная себестоимость производимых товаров.</v>
      </c>
      <c r="K31" s="65" t="s">
        <v>566</v>
      </c>
      <c r="AF31" s="10">
        <v>11</v>
      </c>
    </row>
    <row r="32" spans="1:32" ht="11.45" customHeight="1">
      <c r="D32" s="53"/>
      <c r="E32" s="308" t="str">
        <f>FHD_NUM_P_3</f>
        <v>2.1</v>
      </c>
      <c r="F32" s="320" t="str">
        <f>FHD_P_3</f>
        <v>Расходы на оплату холодной воды, приобретаемой у других организаций для последующей подачи потребителям</v>
      </c>
      <c r="G32" s="40" t="s">
        <v>551</v>
      </c>
      <c r="H32" s="318"/>
      <c r="I32" s="318"/>
      <c r="J32" s="64" t="str">
        <f>FHD_NOTE_P_3</f>
        <v/>
      </c>
      <c r="K32" s="65" t="str">
        <f t="shared" ref="K32:K70" si="0">IF((LEN(E32)-LEN(SUBSTITUTE(E32,".","")))/LEN(".")=1,"p","")</f>
        <v>p</v>
      </c>
      <c r="AF32" s="10">
        <v>11</v>
      </c>
    </row>
    <row r="33" spans="1:32" ht="11.25" hidden="1" customHeight="1">
      <c r="A33" s="1368" t="s">
        <v>567</v>
      </c>
      <c r="D33" s="53"/>
      <c r="E33" s="308" t="str">
        <f>FHD_NUM_P_4</f>
        <v/>
      </c>
      <c r="F33" s="320" t="str">
        <f>FHD_P_4</f>
        <v/>
      </c>
      <c r="G33" s="40" t="s">
        <v>551</v>
      </c>
      <c r="H33" s="319">
        <f>SUMIF($F34:$F40,$F3,H34:H40)</f>
        <v>0</v>
      </c>
      <c r="I33" s="319">
        <f>SUMIF($F34:$F40,$F3,I34:I40)</f>
        <v>0</v>
      </c>
      <c r="J33" s="64" t="str">
        <f>FHD_NOTE_P_4</f>
        <v/>
      </c>
      <c r="K33" s="65" t="str">
        <f t="shared" si="0"/>
        <v/>
      </c>
      <c r="AF33" s="10">
        <v>0</v>
      </c>
    </row>
    <row r="34" spans="1:32" s="200" customFormat="1" ht="0.75" hidden="1" customHeight="1">
      <c r="A34" s="1368"/>
      <c r="B34" s="1369" t="str">
        <f>E33&amp;".0"</f>
        <v>.0</v>
      </c>
      <c r="C34" s="310"/>
      <c r="D34" s="321"/>
      <c r="E34" s="322"/>
      <c r="F34" s="323"/>
      <c r="G34" s="324"/>
      <c r="H34" s="282"/>
      <c r="I34" s="282"/>
      <c r="J34" s="325"/>
      <c r="K34" s="65" t="str">
        <f t="shared" si="0"/>
        <v/>
      </c>
      <c r="L34" s="65"/>
      <c r="M34" s="65"/>
      <c r="N34" s="65"/>
      <c r="O34" s="65"/>
      <c r="P34" s="65"/>
      <c r="Q34" s="65"/>
      <c r="R34" s="65"/>
      <c r="S34" s="65"/>
      <c r="T34" s="65"/>
      <c r="U34" s="326"/>
      <c r="V34" s="65"/>
      <c r="W34" s="65"/>
      <c r="X34" s="65"/>
      <c r="Y34" s="65"/>
      <c r="Z34" s="65"/>
      <c r="AA34" s="139"/>
      <c r="AB34" s="139"/>
      <c r="AC34" s="139"/>
      <c r="AD34" s="139"/>
      <c r="AE34" s="139"/>
      <c r="AF34" s="200">
        <v>0</v>
      </c>
    </row>
    <row r="35" spans="1:32" s="200" customFormat="1" ht="0.75" hidden="1" customHeight="1">
      <c r="A35" s="1368"/>
      <c r="B35" s="1369"/>
      <c r="C35" s="310"/>
      <c r="D35" s="321"/>
      <c r="E35" s="327"/>
      <c r="F35" s="328"/>
      <c r="G35" s="324"/>
      <c r="H35" s="329"/>
      <c r="I35" s="329"/>
      <c r="J35" s="325"/>
      <c r="K35" s="65" t="str">
        <f t="shared" si="0"/>
        <v/>
      </c>
      <c r="L35" s="65"/>
      <c r="M35" s="65"/>
      <c r="N35" s="65"/>
      <c r="O35" s="65"/>
      <c r="P35" s="65"/>
      <c r="Q35" s="65"/>
      <c r="R35" s="65"/>
      <c r="S35" s="65"/>
      <c r="T35" s="65"/>
      <c r="U35" s="326"/>
      <c r="V35" s="65"/>
      <c r="W35" s="65"/>
      <c r="X35" s="65"/>
      <c r="Y35" s="65"/>
      <c r="Z35" s="65"/>
      <c r="AA35" s="139"/>
      <c r="AB35" s="139"/>
      <c r="AC35" s="139"/>
      <c r="AD35" s="139"/>
      <c r="AE35" s="139"/>
      <c r="AF35" s="200">
        <v>0</v>
      </c>
    </row>
    <row r="36" spans="1:32" s="200" customFormat="1" ht="0.75" hidden="1" customHeight="1">
      <c r="A36" s="1368"/>
      <c r="B36" s="1369"/>
      <c r="C36" s="310"/>
      <c r="D36" s="321"/>
      <c r="E36" s="327"/>
      <c r="F36" s="328"/>
      <c r="G36" s="324"/>
      <c r="H36" s="329"/>
      <c r="I36" s="329"/>
      <c r="J36" s="325"/>
      <c r="K36" s="65" t="str">
        <f t="shared" si="0"/>
        <v/>
      </c>
      <c r="L36" s="65"/>
      <c r="M36" s="65"/>
      <c r="N36" s="65"/>
      <c r="O36" s="65"/>
      <c r="P36" s="65"/>
      <c r="Q36" s="65"/>
      <c r="R36" s="65"/>
      <c r="S36" s="65"/>
      <c r="T36" s="65"/>
      <c r="U36" s="326"/>
      <c r="V36" s="65"/>
      <c r="W36" s="65"/>
      <c r="X36" s="65"/>
      <c r="Y36" s="65"/>
      <c r="Z36" s="65"/>
      <c r="AA36" s="139"/>
      <c r="AB36" s="139"/>
      <c r="AC36" s="139"/>
      <c r="AD36" s="139"/>
      <c r="AE36" s="139"/>
      <c r="AF36" s="200">
        <v>0</v>
      </c>
    </row>
    <row r="37" spans="1:32" s="200" customFormat="1" ht="0.75" hidden="1" customHeight="1">
      <c r="A37" s="1368"/>
      <c r="B37" s="1369"/>
      <c r="C37" s="310"/>
      <c r="D37" s="321"/>
      <c r="E37" s="327"/>
      <c r="F37" s="328"/>
      <c r="G37" s="324"/>
      <c r="H37" s="329"/>
      <c r="I37" s="329"/>
      <c r="J37" s="325"/>
      <c r="K37" s="65" t="str">
        <f t="shared" si="0"/>
        <v/>
      </c>
      <c r="L37" s="65"/>
      <c r="M37" s="65"/>
      <c r="N37" s="65"/>
      <c r="O37" s="65"/>
      <c r="P37" s="65"/>
      <c r="Q37" s="65"/>
      <c r="R37" s="65"/>
      <c r="S37" s="65"/>
      <c r="T37" s="65"/>
      <c r="U37" s="326"/>
      <c r="V37" s="65"/>
      <c r="W37" s="65"/>
      <c r="X37" s="65"/>
      <c r="Y37" s="65"/>
      <c r="Z37" s="65"/>
      <c r="AA37" s="139"/>
      <c r="AB37" s="139"/>
      <c r="AC37" s="139"/>
      <c r="AD37" s="139"/>
      <c r="AE37" s="139"/>
      <c r="AF37" s="200">
        <v>0</v>
      </c>
    </row>
    <row r="38" spans="1:32" s="200" customFormat="1" ht="0.75" hidden="1" customHeight="1">
      <c r="A38" s="1368"/>
      <c r="B38" s="1369"/>
      <c r="C38" s="310"/>
      <c r="D38" s="321"/>
      <c r="E38" s="327"/>
      <c r="F38" s="328"/>
      <c r="G38" s="324"/>
      <c r="H38" s="329"/>
      <c r="I38" s="329"/>
      <c r="J38" s="325"/>
      <c r="K38" s="65" t="str">
        <f t="shared" si="0"/>
        <v/>
      </c>
      <c r="L38" s="65"/>
      <c r="M38" s="65"/>
      <c r="N38" s="65"/>
      <c r="O38" s="65"/>
      <c r="P38" s="65"/>
      <c r="Q38" s="65"/>
      <c r="R38" s="65"/>
      <c r="S38" s="65"/>
      <c r="T38" s="65"/>
      <c r="U38" s="326"/>
      <c r="V38" s="65"/>
      <c r="W38" s="65"/>
      <c r="X38" s="65"/>
      <c r="Y38" s="65"/>
      <c r="Z38" s="65"/>
      <c r="AA38" s="139"/>
      <c r="AB38" s="139"/>
      <c r="AC38" s="139"/>
      <c r="AD38" s="139"/>
      <c r="AE38" s="139"/>
      <c r="AF38" s="200">
        <v>0</v>
      </c>
    </row>
    <row r="39" spans="1:32" s="200" customFormat="1" ht="0.75" hidden="1" customHeight="1">
      <c r="A39" s="1368"/>
      <c r="B39" s="1369"/>
      <c r="C39" s="310"/>
      <c r="D39" s="321"/>
      <c r="E39" s="327"/>
      <c r="F39" s="328"/>
      <c r="G39" s="324"/>
      <c r="H39" s="282"/>
      <c r="I39" s="282"/>
      <c r="J39" s="325"/>
      <c r="K39" s="65" t="str">
        <f t="shared" si="0"/>
        <v/>
      </c>
      <c r="L39" s="65"/>
      <c r="M39" s="65"/>
      <c r="N39" s="65"/>
      <c r="O39" s="65"/>
      <c r="P39" s="65"/>
      <c r="Q39" s="65"/>
      <c r="R39" s="65"/>
      <c r="S39" s="65"/>
      <c r="T39" s="65"/>
      <c r="U39" s="326"/>
      <c r="V39" s="65"/>
      <c r="W39" s="65"/>
      <c r="X39" s="65"/>
      <c r="Y39" s="65"/>
      <c r="Z39" s="65"/>
      <c r="AA39" s="139"/>
      <c r="AB39" s="139"/>
      <c r="AC39" s="139"/>
      <c r="AD39" s="139"/>
      <c r="AE39" s="139"/>
      <c r="AF39" s="200">
        <v>0</v>
      </c>
    </row>
    <row r="40" spans="1:32" s="60" customFormat="1" ht="15" hidden="1" customHeight="1">
      <c r="A40" s="1368"/>
      <c r="C40" s="65"/>
      <c r="D40" s="74"/>
      <c r="E40" s="330"/>
      <c r="F40" s="108" t="s">
        <v>568</v>
      </c>
      <c r="G40" s="331"/>
      <c r="H40" s="332"/>
      <c r="I40" s="332"/>
      <c r="J40" s="169"/>
      <c r="K40" s="65" t="str">
        <f t="shared" si="0"/>
        <v/>
      </c>
      <c r="L40" s="65"/>
      <c r="M40" s="65"/>
      <c r="R40" s="65"/>
      <c r="U40" s="306"/>
      <c r="AA40" s="7"/>
      <c r="AB40" s="7"/>
      <c r="AC40" s="7"/>
      <c r="AD40" s="7"/>
      <c r="AE40" s="7"/>
      <c r="AF40" s="60">
        <v>0</v>
      </c>
    </row>
    <row r="41" spans="1:32" ht="11.25" hidden="1" customHeight="1">
      <c r="A41" s="1368" t="s">
        <v>569</v>
      </c>
      <c r="D41" s="53"/>
      <c r="E41" s="308" t="str">
        <f>FHD_NUM_P_5</f>
        <v/>
      </c>
      <c r="F41" s="320" t="str">
        <f>FHD_P_5</f>
        <v/>
      </c>
      <c r="G41" s="40" t="s">
        <v>551</v>
      </c>
      <c r="H41" s="318"/>
      <c r="I41" s="318"/>
      <c r="J41" s="64" t="str">
        <f>FHD_NOTE_P_5</f>
        <v/>
      </c>
      <c r="K41" s="65" t="str">
        <f t="shared" si="0"/>
        <v/>
      </c>
      <c r="AF41" s="10">
        <v>0</v>
      </c>
    </row>
    <row r="42" spans="1:32" ht="11.25" hidden="1" customHeight="1">
      <c r="A42" s="1368"/>
      <c r="D42" s="53"/>
      <c r="E42" s="308" t="str">
        <f>FHD_NUM_P_6</f>
        <v/>
      </c>
      <c r="F42" s="320" t="str">
        <f>FHD_P_6</f>
        <v/>
      </c>
      <c r="G42" s="40" t="s">
        <v>551</v>
      </c>
      <c r="H42" s="318"/>
      <c r="I42" s="318"/>
      <c r="J42" s="64" t="str">
        <f>FHD_NOTE_P_6</f>
        <v/>
      </c>
      <c r="K42" s="65" t="str">
        <f t="shared" si="0"/>
        <v/>
      </c>
      <c r="AF42" s="10">
        <v>0</v>
      </c>
    </row>
    <row r="43" spans="1:32" ht="11.25" hidden="1" customHeight="1">
      <c r="A43" s="1368"/>
      <c r="D43" s="53"/>
      <c r="E43" s="308" t="str">
        <f>FHD_NUM_P_7</f>
        <v/>
      </c>
      <c r="F43" s="320" t="str">
        <f>FHD_P_7</f>
        <v/>
      </c>
      <c r="G43" s="40" t="s">
        <v>551</v>
      </c>
      <c r="H43" s="318"/>
      <c r="I43" s="318"/>
      <c r="J43" s="64" t="str">
        <f>FHD_NOTE_P_7</f>
        <v/>
      </c>
      <c r="K43" s="65" t="str">
        <f t="shared" si="0"/>
        <v/>
      </c>
      <c r="AF43" s="10">
        <v>0</v>
      </c>
    </row>
    <row r="44" spans="1:32" ht="11.45" customHeight="1">
      <c r="D44" s="53"/>
      <c r="E44" s="308" t="str">
        <f>FHD_NUM_P_8</f>
        <v>2.2</v>
      </c>
      <c r="F44" s="320" t="str">
        <f>FHD_P_8</f>
        <v>Расходы на приобретаемую электрическую энергию (мощность), используемую в технологическом процессе</v>
      </c>
      <c r="G44" s="40" t="s">
        <v>551</v>
      </c>
      <c r="H44" s="318"/>
      <c r="I44" s="318"/>
      <c r="J44" s="64" t="str">
        <f>FHD_NOTE_P_8</f>
        <v/>
      </c>
      <c r="K44" s="65" t="str">
        <f t="shared" si="0"/>
        <v>p</v>
      </c>
      <c r="AF44" s="10">
        <v>11</v>
      </c>
    </row>
    <row r="45" spans="1:32" ht="11.45" customHeight="1">
      <c r="D45" s="53"/>
      <c r="E45" s="308" t="str">
        <f>FHD_NUM_P_9</f>
        <v>2.2.1</v>
      </c>
      <c r="F45" s="335" t="str">
        <f>FHD_P_9</f>
        <v>Средневзвешенная стоимость 1 кВт.ч (с учетом мощности)</v>
      </c>
      <c r="G45" s="40" t="s">
        <v>570</v>
      </c>
      <c r="H45" s="318"/>
      <c r="I45" s="318"/>
      <c r="J45" s="64" t="str">
        <f>FHD_NOTE_P_9</f>
        <v/>
      </c>
      <c r="K45" s="65" t="str">
        <f t="shared" si="0"/>
        <v/>
      </c>
      <c r="AF45" s="10">
        <v>11</v>
      </c>
    </row>
    <row r="46" spans="1:32" s="60" customFormat="1" ht="11.45" customHeight="1">
      <c r="A46" s="569"/>
      <c r="C46" s="65"/>
      <c r="D46" s="333"/>
      <c r="E46" s="308" t="str">
        <f>FHD_NUM_P_10</f>
        <v>2.2.2</v>
      </c>
      <c r="F46" s="335" t="str">
        <f>FHD_P_10</f>
        <v>Объём приобретения электрической энергии</v>
      </c>
      <c r="G46" s="40" t="s">
        <v>571</v>
      </c>
      <c r="H46" s="318"/>
      <c r="I46" s="318"/>
      <c r="J46" s="64" t="str">
        <f>FHD_NOTE_P_10</f>
        <v/>
      </c>
      <c r="K46" s="65" t="str">
        <f t="shared" si="0"/>
        <v/>
      </c>
      <c r="L46" s="65"/>
      <c r="M46" s="65"/>
      <c r="R46" s="65"/>
      <c r="U46" s="306"/>
      <c r="AA46" s="7"/>
      <c r="AB46" s="7"/>
      <c r="AC46" s="7"/>
      <c r="AD46" s="7"/>
      <c r="AE46" s="7"/>
      <c r="AF46" s="60">
        <v>11</v>
      </c>
    </row>
    <row r="47" spans="1:32" s="60" customFormat="1" ht="11.25" hidden="1" customHeight="1">
      <c r="A47" s="571" t="s">
        <v>572</v>
      </c>
      <c r="C47" s="65"/>
      <c r="D47" s="334"/>
      <c r="E47" s="308" t="str">
        <f>FHD_NUM_P_11</f>
        <v/>
      </c>
      <c r="F47" s="320" t="str">
        <f>FHD_P_11</f>
        <v/>
      </c>
      <c r="G47" s="40" t="s">
        <v>551</v>
      </c>
      <c r="H47" s="318"/>
      <c r="I47" s="318"/>
      <c r="J47" s="64" t="str">
        <f>FHD_NOTE_P_11</f>
        <v/>
      </c>
      <c r="K47" s="65" t="str">
        <f t="shared" si="0"/>
        <v/>
      </c>
      <c r="L47" s="65"/>
      <c r="M47" s="65"/>
      <c r="R47" s="65"/>
      <c r="U47" s="306"/>
      <c r="AA47" s="7"/>
      <c r="AB47" s="7"/>
      <c r="AC47" s="7"/>
      <c r="AD47" s="7"/>
      <c r="AE47" s="7"/>
      <c r="AF47" s="60">
        <v>0</v>
      </c>
    </row>
    <row r="48" spans="1:32" s="60" customFormat="1" ht="18.75" customHeight="1">
      <c r="A48" s="571" t="s">
        <v>573</v>
      </c>
      <c r="C48" s="65"/>
      <c r="D48" s="53"/>
      <c r="E48" s="308" t="str">
        <f>FHD_NUM_P_12</f>
        <v>2.3</v>
      </c>
      <c r="F48" s="320" t="str">
        <f>FHD_P_12</f>
        <v>Расходы на химические реагенты, используемые в технологическом процессе</v>
      </c>
      <c r="G48" s="40" t="s">
        <v>551</v>
      </c>
      <c r="H48" s="336"/>
      <c r="I48" s="336"/>
      <c r="J48" s="64" t="str">
        <f>FHD_NOTE_P_12</f>
        <v/>
      </c>
      <c r="K48" s="65" t="str">
        <f t="shared" si="0"/>
        <v>p</v>
      </c>
      <c r="L48" s="65"/>
      <c r="M48" s="65"/>
      <c r="R48" s="65"/>
      <c r="U48" s="306"/>
      <c r="AA48" s="7"/>
      <c r="AB48" s="7"/>
      <c r="AC48" s="7"/>
      <c r="AD48" s="7"/>
      <c r="AE48" s="7"/>
      <c r="AF48" s="60">
        <v>18</v>
      </c>
    </row>
    <row r="49" spans="1:32" s="423" customFormat="1" ht="11.45" customHeight="1">
      <c r="A49" s="570"/>
      <c r="C49" s="290"/>
      <c r="D49" s="380"/>
      <c r="E49" s="308" t="str">
        <f>FHD_NUM_P_13</f>
        <v>2.4</v>
      </c>
      <c r="F49" s="32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0" t="s">
        <v>551</v>
      </c>
      <c r="H49" s="318"/>
      <c r="I49" s="318"/>
      <c r="J49" s="64" t="str">
        <f>FHD_NOTE_P_13</f>
        <v>Указывается общая сумма расходов на оплату труда и отчислений на социальные нужды основного производственного персонала.</v>
      </c>
      <c r="K49" s="65" t="str">
        <f t="shared" si="0"/>
        <v>p</v>
      </c>
      <c r="L49" s="290"/>
      <c r="M49" s="290"/>
      <c r="R49" s="290"/>
      <c r="U49" s="424"/>
      <c r="AA49" s="29"/>
      <c r="AB49" s="29"/>
      <c r="AC49" s="29"/>
      <c r="AD49" s="29"/>
      <c r="AE49" s="29"/>
      <c r="AF49" s="423">
        <v>11</v>
      </c>
    </row>
    <row r="50" spans="1:32" s="423" customFormat="1" ht="11.45" customHeight="1">
      <c r="A50" s="570"/>
      <c r="C50" s="290"/>
      <c r="D50" s="380"/>
      <c r="E50" s="308" t="str">
        <f>FHD_NUM_P_14</f>
        <v>2.4.1</v>
      </c>
      <c r="F50" s="335" t="str">
        <f>FHD_P_14</f>
        <v>Расходы на оплату труда основного производственного персонала</v>
      </c>
      <c r="G50" s="40" t="s">
        <v>551</v>
      </c>
      <c r="H50" s="318"/>
      <c r="I50" s="318"/>
      <c r="J50" s="64" t="str">
        <f>FHD_NOTE_P_14</f>
        <v/>
      </c>
      <c r="K50" s="65" t="str">
        <f t="shared" si="0"/>
        <v/>
      </c>
      <c r="L50" s="290"/>
      <c r="M50" s="290"/>
      <c r="R50" s="290"/>
      <c r="U50" s="424"/>
      <c r="AA50" s="29"/>
      <c r="AB50" s="29"/>
      <c r="AC50" s="29"/>
      <c r="AD50" s="29"/>
      <c r="AE50" s="29"/>
      <c r="AF50" s="423">
        <v>11</v>
      </c>
    </row>
    <row r="51" spans="1:32" s="423" customFormat="1" ht="11.45" customHeight="1">
      <c r="A51" s="570"/>
      <c r="C51" s="290"/>
      <c r="D51" s="380"/>
      <c r="E51" s="308" t="str">
        <f>FHD_NUM_P_15</f>
        <v>2.4.2</v>
      </c>
      <c r="F51" s="335" t="str">
        <f>FHD_P_15</f>
        <v>Страховые взносы на обязательное социальное страхование, выплачиваемые из фонда оплаты труда основного производственного персонала</v>
      </c>
      <c r="G51" s="40" t="s">
        <v>551</v>
      </c>
      <c r="H51" s="318"/>
      <c r="I51" s="318"/>
      <c r="J51" s="64" t="str">
        <f>FHD_NOTE_P_15</f>
        <v/>
      </c>
      <c r="K51" s="65" t="str">
        <f t="shared" si="0"/>
        <v/>
      </c>
      <c r="L51" s="290"/>
      <c r="M51" s="290"/>
      <c r="R51" s="290"/>
      <c r="U51" s="424"/>
      <c r="AA51" s="29"/>
      <c r="AB51" s="29"/>
      <c r="AC51" s="29"/>
      <c r="AD51" s="29"/>
      <c r="AE51" s="29"/>
      <c r="AF51" s="423">
        <v>11</v>
      </c>
    </row>
    <row r="52" spans="1:32" s="60" customFormat="1" ht="11.45" customHeight="1">
      <c r="A52" s="569"/>
      <c r="C52" s="65"/>
      <c r="D52" s="53"/>
      <c r="E52" s="308" t="str">
        <f>FHD_NUM_P_16</f>
        <v>2.5</v>
      </c>
      <c r="F52" s="32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0" t="s">
        <v>551</v>
      </c>
      <c r="H52" s="318"/>
      <c r="I52" s="318"/>
      <c r="J52" s="64" t="str">
        <f>FHD_NOTE_P_16</f>
        <v>Указывается общая сумма расходов на оплату труда и отчислений на социальные нужды административно-управленческого персонала.</v>
      </c>
      <c r="K52" s="65" t="str">
        <f t="shared" si="0"/>
        <v>p</v>
      </c>
      <c r="L52" s="65"/>
      <c r="M52" s="65"/>
      <c r="R52" s="65"/>
      <c r="U52" s="306"/>
      <c r="AA52" s="7"/>
      <c r="AB52" s="7"/>
      <c r="AC52" s="7"/>
      <c r="AD52" s="7"/>
      <c r="AE52" s="7"/>
      <c r="AF52" s="60">
        <v>11</v>
      </c>
    </row>
    <row r="53" spans="1:32" s="60" customFormat="1" ht="11.45" customHeight="1">
      <c r="A53" s="569"/>
      <c r="C53" s="65"/>
      <c r="D53" s="53"/>
      <c r="E53" s="308" t="str">
        <f>FHD_NUM_P_17</f>
        <v>2.5.1</v>
      </c>
      <c r="F53" s="335" t="str">
        <f>FHD_P_17</f>
        <v>Расходы на оплату труда административно-управленческого персонала</v>
      </c>
      <c r="G53" s="40" t="s">
        <v>551</v>
      </c>
      <c r="H53" s="318"/>
      <c r="I53" s="318"/>
      <c r="J53" s="64" t="str">
        <f>FHD_NOTE_P_17</f>
        <v/>
      </c>
      <c r="K53" s="65" t="str">
        <f t="shared" si="0"/>
        <v/>
      </c>
      <c r="L53" s="65"/>
      <c r="M53" s="65"/>
      <c r="R53" s="65"/>
      <c r="U53" s="306"/>
      <c r="AA53" s="7"/>
      <c r="AB53" s="7"/>
      <c r="AC53" s="7"/>
      <c r="AD53" s="7"/>
      <c r="AE53" s="7"/>
      <c r="AF53" s="60">
        <v>11</v>
      </c>
    </row>
    <row r="54" spans="1:32" s="60" customFormat="1" ht="11.45" customHeight="1">
      <c r="A54" s="569"/>
      <c r="C54" s="65"/>
      <c r="D54" s="53"/>
      <c r="E54" s="308" t="str">
        <f>FHD_NUM_P_18</f>
        <v>2.5.2</v>
      </c>
      <c r="F54" s="33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0" t="s">
        <v>551</v>
      </c>
      <c r="H54" s="318"/>
      <c r="I54" s="318"/>
      <c r="J54" s="64" t="str">
        <f>FHD_NOTE_P_18</f>
        <v/>
      </c>
      <c r="K54" s="65" t="str">
        <f t="shared" si="0"/>
        <v/>
      </c>
      <c r="L54" s="65"/>
      <c r="M54" s="65"/>
      <c r="R54" s="65"/>
      <c r="U54" s="306"/>
      <c r="AA54" s="7"/>
      <c r="AB54" s="7"/>
      <c r="AC54" s="7"/>
      <c r="AD54" s="7"/>
      <c r="AE54" s="7"/>
      <c r="AF54" s="60">
        <v>11</v>
      </c>
    </row>
    <row r="55" spans="1:32" s="60" customFormat="1" ht="11.45" customHeight="1">
      <c r="A55" s="569"/>
      <c r="C55" s="65"/>
      <c r="D55" s="334"/>
      <c r="E55" s="308" t="str">
        <f>FHD_NUM_P_19</f>
        <v>2.6</v>
      </c>
      <c r="F55" s="320" t="str">
        <f>FHD_P_19</f>
        <v>Расходы на амортизацию основных средств и нематериальных активов</v>
      </c>
      <c r="G55" s="40" t="s">
        <v>551</v>
      </c>
      <c r="H55" s="318"/>
      <c r="I55" s="318"/>
      <c r="J55" s="64" t="str">
        <f>FHD_NOTE_P_19</f>
        <v/>
      </c>
      <c r="K55" s="65" t="str">
        <f t="shared" si="0"/>
        <v>p</v>
      </c>
      <c r="L55" s="65"/>
      <c r="M55" s="65"/>
      <c r="R55" s="65"/>
      <c r="U55" s="306"/>
      <c r="AA55" s="7"/>
      <c r="AB55" s="7"/>
      <c r="AC55" s="7"/>
      <c r="AD55" s="7"/>
      <c r="AE55" s="7"/>
      <c r="AF55" s="60">
        <v>11</v>
      </c>
    </row>
    <row r="56" spans="1:32" s="60" customFormat="1" ht="11.45" customHeight="1">
      <c r="A56" s="569"/>
      <c r="C56" s="65"/>
      <c r="D56" s="334"/>
      <c r="E56" s="308" t="str">
        <f>FHD_NUM_P_20</f>
        <v>2.6.1</v>
      </c>
      <c r="F56" s="335" t="str">
        <f>FHD_P_20</f>
        <v>Расходы на амортизацию основных средств</v>
      </c>
      <c r="G56" s="40" t="s">
        <v>551</v>
      </c>
      <c r="H56" s="318"/>
      <c r="I56" s="318"/>
      <c r="J56" s="64" t="str">
        <f>FHD_NOTE_P_20</f>
        <v/>
      </c>
      <c r="K56" s="65" t="str">
        <f t="shared" si="0"/>
        <v/>
      </c>
      <c r="L56" s="65"/>
      <c r="M56" s="65"/>
      <c r="R56" s="65"/>
      <c r="U56" s="306"/>
      <c r="AA56" s="7"/>
      <c r="AB56" s="7"/>
      <c r="AC56" s="7"/>
      <c r="AD56" s="7"/>
      <c r="AE56" s="7"/>
      <c r="AF56" s="60">
        <v>11</v>
      </c>
    </row>
    <row r="57" spans="1:32" s="60" customFormat="1" ht="11.45" customHeight="1">
      <c r="A57" s="569"/>
      <c r="C57" s="65"/>
      <c r="D57" s="334"/>
      <c r="E57" s="308" t="str">
        <f>FHD_NUM_P_21</f>
        <v>2.6.2</v>
      </c>
      <c r="F57" s="335" t="str">
        <f>FHD_P_21</f>
        <v>Расходы на амортизацию нематериальных активов</v>
      </c>
      <c r="G57" s="40" t="s">
        <v>551</v>
      </c>
      <c r="H57" s="318"/>
      <c r="I57" s="318"/>
      <c r="J57" s="64" t="str">
        <f>FHD_NOTE_P_21</f>
        <v/>
      </c>
      <c r="K57" s="65" t="str">
        <f t="shared" si="0"/>
        <v/>
      </c>
      <c r="L57" s="65"/>
      <c r="M57" s="65"/>
      <c r="R57" s="65"/>
      <c r="U57" s="306"/>
      <c r="AA57" s="7"/>
      <c r="AB57" s="7"/>
      <c r="AC57" s="7"/>
      <c r="AD57" s="7"/>
      <c r="AE57" s="7"/>
      <c r="AF57" s="60">
        <v>11</v>
      </c>
    </row>
    <row r="58" spans="1:32" s="60" customFormat="1" ht="11.45" customHeight="1">
      <c r="A58" s="569"/>
      <c r="C58" s="65"/>
      <c r="D58" s="53"/>
      <c r="E58" s="308" t="str">
        <f>FHD_NUM_P_22</f>
        <v>2.7</v>
      </c>
      <c r="F58" s="320" t="str">
        <f>FHD_P_22</f>
        <v>Расходы на аренду имущества, используемого для осуществления регулируемых видов деятельности в сфере холодного водоснабжения</v>
      </c>
      <c r="G58" s="40" t="s">
        <v>551</v>
      </c>
      <c r="H58" s="318"/>
      <c r="I58" s="318"/>
      <c r="J58" s="64" t="str">
        <f>FHD_NOTE_P_22</f>
        <v/>
      </c>
      <c r="K58" s="65" t="str">
        <f t="shared" si="0"/>
        <v>p</v>
      </c>
      <c r="L58" s="65"/>
      <c r="M58" s="65"/>
      <c r="R58" s="65"/>
      <c r="U58" s="306"/>
      <c r="AA58" s="7"/>
      <c r="AB58" s="7"/>
      <c r="AC58" s="7"/>
      <c r="AD58" s="7"/>
      <c r="AE58" s="7"/>
      <c r="AF58" s="60">
        <v>11</v>
      </c>
    </row>
    <row r="59" spans="1:32" s="60" customFormat="1" ht="11.45" customHeight="1">
      <c r="A59" s="569"/>
      <c r="C59" s="65"/>
      <c r="D59" s="334"/>
      <c r="E59" s="308" t="str">
        <f>FHD_NUM_P_23</f>
        <v>2.8</v>
      </c>
      <c r="F59" s="320" t="str">
        <f>FHD_P_23</f>
        <v>Общепроизводственные расходы, в том числе:</v>
      </c>
      <c r="G59" s="40" t="s">
        <v>551</v>
      </c>
      <c r="H59" s="318"/>
      <c r="I59" s="318"/>
      <c r="J59" s="64" t="str">
        <f>FHD_NOTE_P_23</f>
        <v>Указывается общая сумма общепроизводственных расходов.</v>
      </c>
      <c r="K59" s="65" t="str">
        <f t="shared" si="0"/>
        <v>p</v>
      </c>
      <c r="L59" s="65"/>
      <c r="M59" s="65"/>
      <c r="R59" s="65"/>
      <c r="U59" s="306"/>
      <c r="AA59" s="7"/>
      <c r="AB59" s="7"/>
      <c r="AC59" s="7"/>
      <c r="AD59" s="7"/>
      <c r="AE59" s="7"/>
      <c r="AF59" s="60">
        <v>11</v>
      </c>
    </row>
    <row r="60" spans="1:32" s="60" customFormat="1" ht="11.45" customHeight="1">
      <c r="A60" s="569"/>
      <c r="C60" s="65"/>
      <c r="D60" s="334"/>
      <c r="E60" s="308" t="str">
        <f>FHD_NUM_P_24</f>
        <v>2.8.1</v>
      </c>
      <c r="F60" s="335" t="str">
        <f>FHD_P_24</f>
        <v>Расходы на текущий ремонт</v>
      </c>
      <c r="G60" s="40" t="s">
        <v>551</v>
      </c>
      <c r="H60" s="318"/>
      <c r="I60" s="318"/>
      <c r="J60" s="64" t="str">
        <f>FHD_NOTE_P_24</f>
        <v>Указываются расходы на текущий ремонт, отнесенные к общепроизводственным расходам.</v>
      </c>
      <c r="K60" s="65" t="str">
        <f t="shared" si="0"/>
        <v/>
      </c>
      <c r="L60" s="65"/>
      <c r="M60" s="65"/>
      <c r="R60" s="65"/>
      <c r="U60" s="306"/>
      <c r="AA60" s="7"/>
      <c r="AB60" s="7"/>
      <c r="AC60" s="7"/>
      <c r="AD60" s="7"/>
      <c r="AE60" s="7"/>
      <c r="AF60" s="60">
        <v>11</v>
      </c>
    </row>
    <row r="61" spans="1:32" s="60" customFormat="1" ht="11.45" customHeight="1">
      <c r="A61" s="569"/>
      <c r="C61" s="65"/>
      <c r="D61" s="334"/>
      <c r="E61" s="308" t="str">
        <f>FHD_NUM_P_25</f>
        <v>2.8.2</v>
      </c>
      <c r="F61" s="335" t="str">
        <f>FHD_P_25</f>
        <v>Расходы на капитальный ремонт</v>
      </c>
      <c r="G61" s="40" t="s">
        <v>551</v>
      </c>
      <c r="H61" s="318"/>
      <c r="I61" s="318"/>
      <c r="J61" s="64" t="str">
        <f>FHD_NOTE_P_25</f>
        <v>Указываются расходы на капитальный ремонт, отнесенные к общепроизводственным расходам.</v>
      </c>
      <c r="K61" s="65" t="str">
        <f t="shared" si="0"/>
        <v/>
      </c>
      <c r="L61" s="65"/>
      <c r="M61" s="65"/>
      <c r="R61" s="65"/>
      <c r="U61" s="306"/>
      <c r="AA61" s="7"/>
      <c r="AB61" s="7"/>
      <c r="AC61" s="7"/>
      <c r="AD61" s="7"/>
      <c r="AE61" s="7"/>
      <c r="AF61" s="60">
        <v>11</v>
      </c>
    </row>
    <row r="62" spans="1:32" s="60" customFormat="1" ht="11.45" customHeight="1">
      <c r="A62" s="569"/>
      <c r="C62" s="65"/>
      <c r="D62" s="53"/>
      <c r="E62" s="308" t="str">
        <f>FHD_NUM_P_26</f>
        <v>2.9</v>
      </c>
      <c r="F62" s="320" t="str">
        <f>FHD_P_26</f>
        <v>Общехозяйственные расходы, в том числе:</v>
      </c>
      <c r="G62" s="40" t="s">
        <v>551</v>
      </c>
      <c r="H62" s="318"/>
      <c r="I62" s="318"/>
      <c r="J62" s="64" t="str">
        <f>FHD_NOTE_P_26</f>
        <v>Указывается общая сумма общехозяйственных расходов.</v>
      </c>
      <c r="K62" s="65" t="str">
        <f t="shared" si="0"/>
        <v>p</v>
      </c>
      <c r="L62" s="65"/>
      <c r="M62" s="65"/>
      <c r="R62" s="65"/>
      <c r="U62" s="306"/>
      <c r="AA62" s="7"/>
      <c r="AB62" s="7"/>
      <c r="AC62" s="7"/>
      <c r="AD62" s="7"/>
      <c r="AE62" s="7"/>
      <c r="AF62" s="60">
        <v>11</v>
      </c>
    </row>
    <row r="63" spans="1:32" s="60" customFormat="1" ht="11.45" customHeight="1">
      <c r="A63" s="569"/>
      <c r="C63" s="65"/>
      <c r="D63" s="53"/>
      <c r="E63" s="308" t="str">
        <f>FHD_NUM_P_27</f>
        <v>2.9.1</v>
      </c>
      <c r="F63" s="335" t="str">
        <f>FHD_P_27</f>
        <v>Расходы на текущий ремонт</v>
      </c>
      <c r="G63" s="40" t="s">
        <v>551</v>
      </c>
      <c r="H63" s="318"/>
      <c r="I63" s="318"/>
      <c r="J63" s="64" t="str">
        <f>FHD_NOTE_P_27</f>
        <v>Указываются расходы на текущий ремонт, отнесенные к общехозяйственным расходам.</v>
      </c>
      <c r="K63" s="65" t="str">
        <f t="shared" si="0"/>
        <v/>
      </c>
      <c r="L63" s="65"/>
      <c r="M63" s="65"/>
      <c r="R63" s="65"/>
      <c r="U63" s="306"/>
      <c r="AA63" s="7"/>
      <c r="AB63" s="7"/>
      <c r="AC63" s="7"/>
      <c r="AD63" s="7"/>
      <c r="AE63" s="7"/>
      <c r="AF63" s="60">
        <v>11</v>
      </c>
    </row>
    <row r="64" spans="1:32" s="60" customFormat="1" ht="11.45" customHeight="1">
      <c r="A64" s="569"/>
      <c r="C64" s="65"/>
      <c r="D64" s="53"/>
      <c r="E64" s="308" t="str">
        <f>FHD_NUM_P_28</f>
        <v>2.9.2</v>
      </c>
      <c r="F64" s="335" t="str">
        <f>FHD_P_28</f>
        <v>Расходы на капитальный ремонт</v>
      </c>
      <c r="G64" s="40" t="s">
        <v>551</v>
      </c>
      <c r="H64" s="318"/>
      <c r="I64" s="318"/>
      <c r="J64" s="64" t="str">
        <f>FHD_NOTE_P_28</f>
        <v>Указываются расходы на капитальный ремонт, отнесенные к общехозяйственным расходам.</v>
      </c>
      <c r="K64" s="65" t="str">
        <f t="shared" si="0"/>
        <v/>
      </c>
      <c r="L64" s="65"/>
      <c r="M64" s="65"/>
      <c r="R64" s="65"/>
      <c r="U64" s="306"/>
      <c r="AA64" s="7"/>
      <c r="AB64" s="7"/>
      <c r="AC64" s="7"/>
      <c r="AD64" s="7"/>
      <c r="AE64" s="7"/>
      <c r="AF64" s="60">
        <v>11</v>
      </c>
    </row>
    <row r="65" spans="1:32" s="60" customFormat="1" ht="11.45" customHeight="1">
      <c r="A65" s="569"/>
      <c r="C65" s="65"/>
      <c r="D65" s="53"/>
      <c r="E65" s="308" t="str">
        <f>FHD_NUM_P_29</f>
        <v>2.10</v>
      </c>
      <c r="F65" s="320" t="str">
        <f>FHD_P_29</f>
        <v>Расходы на капитальный и текущий ремонт основных средств</v>
      </c>
      <c r="G65" s="40" t="s">
        <v>551</v>
      </c>
      <c r="H65" s="318"/>
      <c r="I65" s="318"/>
      <c r="J65" s="64"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65" t="str">
        <f t="shared" si="0"/>
        <v>p</v>
      </c>
      <c r="L65" s="65"/>
      <c r="M65" s="65"/>
      <c r="R65" s="65"/>
      <c r="U65" s="306"/>
      <c r="AA65" s="7"/>
      <c r="AB65" s="7"/>
      <c r="AC65" s="7"/>
      <c r="AD65" s="7"/>
      <c r="AE65" s="7"/>
      <c r="AF65" s="60">
        <v>11</v>
      </c>
    </row>
    <row r="66" spans="1:32" s="60" customFormat="1" ht="11.45" customHeight="1">
      <c r="A66" s="569"/>
      <c r="C66" s="65"/>
      <c r="D66" s="53"/>
      <c r="E66" s="308" t="str">
        <f>FHD_NUM_P_30</f>
        <v>2.10.1</v>
      </c>
      <c r="F66" s="33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0" t="s">
        <v>306</v>
      </c>
      <c r="H66" s="110" t="s">
        <v>574</v>
      </c>
      <c r="I66" s="110" t="s">
        <v>574</v>
      </c>
      <c r="J66" s="64" t="str">
        <f>FHD_NOTE_P_30</f>
        <v/>
      </c>
      <c r="K66" s="65" t="str">
        <f t="shared" si="0"/>
        <v/>
      </c>
      <c r="L66" s="65">
        <f>IFERROR(MATCH("есть",B_FHD_FLAG_INDEX_1,0),0)</f>
        <v>0</v>
      </c>
      <c r="M66" s="65"/>
      <c r="R66" s="65"/>
      <c r="U66" s="306"/>
      <c r="AA66" s="7"/>
      <c r="AB66" s="7"/>
      <c r="AC66" s="7"/>
      <c r="AD66" s="7"/>
      <c r="AE66" s="7"/>
      <c r="AF66" s="60">
        <v>11</v>
      </c>
    </row>
    <row r="67" spans="1:32" s="60" customFormat="1" ht="23.25" customHeight="1">
      <c r="A67" s="1368" t="s">
        <v>575</v>
      </c>
      <c r="C67" s="65"/>
      <c r="D67" s="53"/>
      <c r="E67" s="308" t="str">
        <f>FHD_NUM_P_31</f>
        <v>2.11</v>
      </c>
      <c r="F67" s="320"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40" t="s">
        <v>551</v>
      </c>
      <c r="H67" s="318"/>
      <c r="I67" s="318"/>
      <c r="J67" s="64"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65" t="str">
        <f t="shared" si="0"/>
        <v>p</v>
      </c>
      <c r="L67" s="65"/>
      <c r="M67" s="65"/>
      <c r="R67" s="65"/>
      <c r="U67" s="306"/>
      <c r="AA67" s="7"/>
      <c r="AB67" s="7"/>
      <c r="AC67" s="7"/>
      <c r="AD67" s="7"/>
      <c r="AE67" s="7"/>
      <c r="AF67" s="60">
        <v>22</v>
      </c>
    </row>
    <row r="68" spans="1:32" s="60" customFormat="1" ht="47.25" customHeight="1">
      <c r="A68" s="1368"/>
      <c r="C68" s="65"/>
      <c r="D68" s="53"/>
      <c r="E68" s="308" t="str">
        <f>FHD_NUM_P_32</f>
        <v>2.11.1</v>
      </c>
      <c r="F68" s="335"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0" t="s">
        <v>306</v>
      </c>
      <c r="H68" s="110" t="s">
        <v>574</v>
      </c>
      <c r="I68" s="110" t="s">
        <v>574</v>
      </c>
      <c r="J68" s="64" t="str">
        <f>FHD_NOTE_P_32</f>
        <v/>
      </c>
      <c r="K68" s="65" t="str">
        <f t="shared" si="0"/>
        <v/>
      </c>
      <c r="L68" s="65">
        <f>IFERROR(MATCH("есть",B_FHD_FLAG_INDEX_2,0),0)</f>
        <v>0</v>
      </c>
      <c r="M68" s="65"/>
      <c r="R68" s="65"/>
      <c r="U68" s="306"/>
      <c r="AA68" s="7"/>
      <c r="AB68" s="7"/>
      <c r="AC68" s="7"/>
      <c r="AD68" s="7"/>
      <c r="AE68" s="7"/>
      <c r="AF68" s="60">
        <v>45</v>
      </c>
    </row>
    <row r="69" spans="1:32" s="60" customFormat="1" ht="11.45" customHeight="1">
      <c r="A69" s="569"/>
      <c r="C69" s="65"/>
      <c r="D69" s="53"/>
      <c r="E69" s="308" t="str">
        <f>FHD_NUM_P_33</f>
        <v>2.12</v>
      </c>
      <c r="F69" s="320"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337" t="s">
        <v>551</v>
      </c>
      <c r="H69" s="338">
        <f>SUM(H70:H71)</f>
        <v>0</v>
      </c>
      <c r="I69" s="338">
        <f>SUM(I70:I71)</f>
        <v>0</v>
      </c>
      <c r="J69" s="64"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65" t="str">
        <f t="shared" si="0"/>
        <v>p</v>
      </c>
      <c r="L69" s="65"/>
      <c r="M69" s="65"/>
      <c r="R69" s="65"/>
      <c r="U69" s="306"/>
      <c r="AA69" s="7"/>
      <c r="AB69" s="7"/>
      <c r="AC69" s="7"/>
      <c r="AD69" s="7"/>
      <c r="AE69" s="7"/>
      <c r="AF69" s="60">
        <v>11</v>
      </c>
    </row>
    <row r="70" spans="1:32" s="65" customFormat="1" ht="1.1499999999999999" customHeight="1">
      <c r="A70" s="310"/>
      <c r="D70" s="310"/>
      <c r="E70" s="313" t="str">
        <f>E69&amp;".0"</f>
        <v>2.12.0</v>
      </c>
      <c r="F70" s="573"/>
      <c r="G70" s="313"/>
      <c r="H70" s="574"/>
      <c r="I70" s="574"/>
      <c r="J70" s="575"/>
      <c r="K70" s="65" t="str">
        <f t="shared" si="0"/>
        <v/>
      </c>
      <c r="AF70" s="65">
        <v>1</v>
      </c>
    </row>
    <row r="71" spans="1:32" s="60" customFormat="1" ht="14.65" customHeight="1">
      <c r="A71" s="569"/>
      <c r="C71" s="65"/>
      <c r="D71" s="74"/>
      <c r="E71" s="330"/>
      <c r="F71" s="108" t="s">
        <v>576</v>
      </c>
      <c r="G71" s="331"/>
      <c r="H71" s="332"/>
      <c r="I71" s="332"/>
      <c r="J71" s="169"/>
      <c r="K71" s="65"/>
      <c r="L71" s="65"/>
      <c r="M71" s="65"/>
      <c r="R71" s="65"/>
      <c r="U71" s="306"/>
      <c r="AA71" s="7"/>
      <c r="AB71" s="7"/>
      <c r="AC71" s="7"/>
      <c r="AD71" s="7"/>
      <c r="AE71" s="7"/>
      <c r="AF71" s="60">
        <v>14</v>
      </c>
    </row>
    <row r="72" spans="1:32" s="60" customFormat="1" ht="18.75" hidden="1" customHeight="1">
      <c r="A72" s="571" t="s">
        <v>577</v>
      </c>
      <c r="C72" s="65"/>
      <c r="D72" s="53"/>
      <c r="E72" s="308" t="str">
        <f>FHD_NUM_P_34</f>
        <v/>
      </c>
      <c r="F72" s="150" t="str">
        <f>FHD_P_34</f>
        <v/>
      </c>
      <c r="G72" s="40" t="s">
        <v>551</v>
      </c>
      <c r="H72" s="318"/>
      <c r="I72" s="318"/>
      <c r="J72" s="64" t="str">
        <f>FHD_NOTE_P_34</f>
        <v/>
      </c>
      <c r="K72" s="305"/>
      <c r="L72" s="65"/>
      <c r="M72" s="65"/>
      <c r="R72" s="65"/>
      <c r="U72" s="306"/>
      <c r="AA72" s="7"/>
      <c r="AB72" s="7"/>
      <c r="AC72" s="7"/>
      <c r="AD72" s="7"/>
      <c r="AE72" s="7"/>
      <c r="AF72" s="60">
        <v>0</v>
      </c>
    </row>
    <row r="73" spans="1:32" s="60" customFormat="1" ht="19.899999999999999" customHeight="1">
      <c r="A73" s="569"/>
      <c r="C73" s="65"/>
      <c r="D73" s="334"/>
      <c r="E73" s="308" t="str">
        <f>FHD_NUM_P_35</f>
        <v>3</v>
      </c>
      <c r="F73" s="150" t="str">
        <f>FHD_P_35</f>
        <v>Чистая прибыль, полученная от регулируемого вида деятельности в сфере холодного водоснабжения, в том числе:</v>
      </c>
      <c r="G73" s="40" t="s">
        <v>551</v>
      </c>
      <c r="H73" s="318"/>
      <c r="I73" s="318"/>
      <c r="J73" s="64" t="str">
        <f>FHD_NOTE_P_35</f>
        <v>Указывается общая сумма чистой прибыли, полученной от регулируемого вида деятельности.</v>
      </c>
      <c r="K73" s="305"/>
      <c r="L73" s="65"/>
      <c r="M73" s="65"/>
      <c r="R73" s="65"/>
      <c r="U73" s="306"/>
      <c r="AA73" s="7"/>
      <c r="AB73" s="7"/>
      <c r="AC73" s="7"/>
      <c r="AD73" s="7"/>
      <c r="AE73" s="7"/>
      <c r="AF73" s="60">
        <v>19</v>
      </c>
    </row>
    <row r="74" spans="1:32" s="60" customFormat="1" ht="19.899999999999999" customHeight="1">
      <c r="A74" s="569"/>
      <c r="C74" s="65"/>
      <c r="D74" s="53"/>
      <c r="E74" s="308" t="str">
        <f>FHD_NUM_P_36</f>
        <v>3.1</v>
      </c>
      <c r="F74" s="32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0" t="s">
        <v>551</v>
      </c>
      <c r="H74" s="318"/>
      <c r="I74" s="318"/>
      <c r="J74" s="64" t="str">
        <f>FHD_NOTE_P_36</f>
        <v/>
      </c>
      <c r="K74" s="305"/>
      <c r="L74" s="65"/>
      <c r="M74" s="65"/>
      <c r="R74" s="65"/>
      <c r="U74" s="306"/>
      <c r="AA74" s="7"/>
      <c r="AB74" s="7"/>
      <c r="AC74" s="7"/>
      <c r="AD74" s="7"/>
      <c r="AE74" s="7"/>
      <c r="AF74" s="60">
        <v>19</v>
      </c>
    </row>
    <row r="75" spans="1:32" s="60" customFormat="1" ht="19.899999999999999" customHeight="1">
      <c r="A75" s="569"/>
      <c r="C75" s="65"/>
      <c r="D75" s="53"/>
      <c r="E75" s="308" t="str">
        <f>FHD_NUM_P_37</f>
        <v>4</v>
      </c>
      <c r="F75" s="150" t="str">
        <f>FHD_P_37</f>
        <v>Изменение стоимости основных фондов, в том числе:</v>
      </c>
      <c r="G75" s="40" t="s">
        <v>551</v>
      </c>
      <c r="H75" s="318"/>
      <c r="I75" s="318"/>
      <c r="J75" s="64" t="str">
        <f>FHD_NOTE_P_37</f>
        <v>Указывается общее изменение стоимости основных фондов.</v>
      </c>
      <c r="K75" s="305"/>
      <c r="L75" s="65"/>
      <c r="M75" s="65"/>
      <c r="R75" s="65"/>
      <c r="U75" s="306"/>
      <c r="AA75" s="7"/>
      <c r="AB75" s="7"/>
      <c r="AC75" s="7"/>
      <c r="AD75" s="7"/>
      <c r="AE75" s="7"/>
      <c r="AF75" s="60">
        <v>19</v>
      </c>
    </row>
    <row r="76" spans="1:32" s="60" customFormat="1" ht="19.899999999999999" customHeight="1">
      <c r="A76" s="569"/>
      <c r="C76" s="65"/>
      <c r="D76" s="53"/>
      <c r="E76" s="308" t="str">
        <f>FHD_NUM_P_38</f>
        <v>4.1</v>
      </c>
      <c r="F76" s="320" t="str">
        <f>FHD_P_38</f>
        <v>Изменение стоимости основных фондов за счет их ввода в эксплуатацию (вывода из эксплуатации)</v>
      </c>
      <c r="G76" s="40" t="s">
        <v>551</v>
      </c>
      <c r="H76" s="318"/>
      <c r="I76" s="318"/>
      <c r="J76" s="64" t="str">
        <f>FHD_NOTE_P_38</f>
        <v>Указываются общее изменение стоимости основных фондов за счет их ввода в эксплуатацию и вывода из эксплуатации.</v>
      </c>
      <c r="K76" s="305"/>
      <c r="L76" s="65"/>
      <c r="M76" s="65"/>
      <c r="R76" s="65"/>
      <c r="U76" s="306"/>
      <c r="AA76" s="7"/>
      <c r="AB76" s="7"/>
      <c r="AC76" s="7"/>
      <c r="AD76" s="7"/>
      <c r="AE76" s="7"/>
      <c r="AF76" s="60">
        <v>19</v>
      </c>
    </row>
    <row r="77" spans="1:32" s="60" customFormat="1" ht="19.899999999999999" customHeight="1">
      <c r="A77" s="569"/>
      <c r="C77" s="65"/>
      <c r="D77" s="53"/>
      <c r="E77" s="308" t="str">
        <f>FHD_NUM_P_39</f>
        <v>4.1.1</v>
      </c>
      <c r="F77" s="335" t="str">
        <f>FHD_P_39</f>
        <v>Изменение стоимости основных фондов за счет их ввода в эксплуатацию</v>
      </c>
      <c r="G77" s="337" t="s">
        <v>551</v>
      </c>
      <c r="H77" s="318"/>
      <c r="I77" s="318"/>
      <c r="J77" s="64" t="str">
        <f>FHD_NOTE_P_39</f>
        <v>Указываются изменение стоимости основных фондов за счет их ввода в эксплуатацию.</v>
      </c>
      <c r="K77" s="305"/>
      <c r="L77" s="65"/>
      <c r="M77" s="65"/>
      <c r="R77" s="65"/>
      <c r="U77" s="306"/>
      <c r="AA77" s="7"/>
      <c r="AB77" s="7"/>
      <c r="AC77" s="7"/>
      <c r="AD77" s="7"/>
      <c r="AE77" s="7"/>
      <c r="AF77" s="60">
        <v>19</v>
      </c>
    </row>
    <row r="78" spans="1:32" s="60" customFormat="1" ht="19.899999999999999" customHeight="1">
      <c r="A78" s="569"/>
      <c r="C78" s="65"/>
      <c r="D78" s="53"/>
      <c r="E78" s="308" t="str">
        <f>FHD_NUM_P_40</f>
        <v>4.1.2</v>
      </c>
      <c r="F78" s="1094" t="str">
        <f>FHD_P_40</f>
        <v>Изменение стоимости основных фондов за счет их вывода в эксплуатацию</v>
      </c>
      <c r="G78" s="40" t="s">
        <v>551</v>
      </c>
      <c r="H78" s="558"/>
      <c r="I78" s="318"/>
      <c r="J78" s="64" t="str">
        <f>FHD_NOTE_P_40</f>
        <v>Указываются изменение стоимости основных фондов за счет их вывода из эксплуатации.</v>
      </c>
      <c r="K78" s="305"/>
      <c r="L78" s="65"/>
      <c r="M78" s="65"/>
      <c r="R78" s="65"/>
      <c r="U78" s="306"/>
      <c r="AA78" s="7"/>
      <c r="AB78" s="7"/>
      <c r="AC78" s="7"/>
      <c r="AD78" s="7"/>
      <c r="AE78" s="7"/>
      <c r="AF78" s="60">
        <v>19</v>
      </c>
    </row>
    <row r="79" spans="1:32" s="60" customFormat="1" ht="19.899999999999999" customHeight="1">
      <c r="A79" s="569"/>
      <c r="C79" s="65"/>
      <c r="D79" s="53"/>
      <c r="E79" s="308" t="str">
        <f>FHD_NUM_P_41</f>
        <v>4.2</v>
      </c>
      <c r="F79" s="1093" t="str">
        <f>FHD_P_41</f>
        <v>Изменение стоимости основных фондов за счет их переоценки</v>
      </c>
      <c r="G79" s="40" t="s">
        <v>551</v>
      </c>
      <c r="H79" s="558"/>
      <c r="I79" s="318"/>
      <c r="J79" s="64" t="str">
        <f>FHD_NOTE_P_41</f>
        <v/>
      </c>
      <c r="K79" s="305"/>
      <c r="L79" s="65"/>
      <c r="M79" s="65"/>
      <c r="R79" s="65"/>
      <c r="U79" s="306"/>
      <c r="AA79" s="7"/>
      <c r="AB79" s="7"/>
      <c r="AC79" s="7"/>
      <c r="AD79" s="7"/>
      <c r="AE79" s="7"/>
      <c r="AF79" s="60">
        <v>19</v>
      </c>
    </row>
    <row r="80" spans="1:32" s="60" customFormat="1" ht="19.899999999999999" customHeight="1">
      <c r="A80" s="571" t="s">
        <v>578</v>
      </c>
      <c r="C80" s="65"/>
      <c r="D80" s="53"/>
      <c r="E80" s="308" t="str">
        <f>FHD_NUM_P_42</f>
        <v>5</v>
      </c>
      <c r="F80" s="1092" t="str">
        <f>FHD_P_42</f>
        <v>Валовая прибыль (убытки) от продажи товаров и услуг по регулируемым видам деятельности в сфере холодного водоснабжения</v>
      </c>
      <c r="G80" s="40" t="s">
        <v>551</v>
      </c>
      <c r="H80" s="558"/>
      <c r="I80" s="318"/>
      <c r="J80" s="64" t="str">
        <f>FHD_NOTE_P_42</f>
        <v/>
      </c>
      <c r="K80" s="305"/>
      <c r="L80" s="65"/>
      <c r="M80" s="65"/>
      <c r="R80" s="65"/>
      <c r="U80" s="306"/>
      <c r="AA80" s="7"/>
      <c r="AB80" s="7"/>
      <c r="AC80" s="7"/>
      <c r="AD80" s="7"/>
      <c r="AE80" s="7"/>
      <c r="AF80" s="60">
        <v>19</v>
      </c>
    </row>
    <row r="81" spans="1:32" s="60" customFormat="1" ht="19.899999999999999" customHeight="1">
      <c r="A81" s="569"/>
      <c r="C81" s="65"/>
      <c r="D81" s="53"/>
      <c r="E81" s="308" t="str">
        <f>FHD_NUM_P_43</f>
        <v>6</v>
      </c>
      <c r="F81" s="150" t="str">
        <f>FHD_P_43</f>
        <v>Годовая бухгалтерская (финансовая) отчетность, включая бухгалтерский баланс и приложения к нему</v>
      </c>
      <c r="G81" s="444" t="s">
        <v>306</v>
      </c>
      <c r="H81" s="618"/>
      <c r="I81" s="225"/>
      <c r="J81" s="64"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305"/>
      <c r="L81" s="65"/>
      <c r="M81" s="65"/>
      <c r="R81" s="65"/>
      <c r="U81" s="306"/>
      <c r="AA81" s="7"/>
      <c r="AB81" s="7"/>
      <c r="AC81" s="7"/>
      <c r="AD81" s="7"/>
      <c r="AE81" s="7"/>
      <c r="AF81" s="60">
        <v>19</v>
      </c>
    </row>
    <row r="82" spans="1:32" s="60" customFormat="1" ht="18.75" customHeight="1">
      <c r="A82" s="1368" t="s">
        <v>579</v>
      </c>
      <c r="C82" s="65"/>
      <c r="D82" s="53"/>
      <c r="E82" s="308" t="str">
        <f>FHD_NUM_P_44</f>
        <v>7</v>
      </c>
      <c r="F82" s="150" t="str">
        <f>FHD_P_44</f>
        <v>Объём поднятой воды</v>
      </c>
      <c r="G82" s="40" t="s">
        <v>580</v>
      </c>
      <c r="H82" s="559"/>
      <c r="I82" s="336"/>
      <c r="J82" s="64" t="str">
        <f>FHD_NOTE_P_44</f>
        <v/>
      </c>
      <c r="K82" s="305"/>
      <c r="L82" s="65"/>
      <c r="M82" s="65"/>
      <c r="R82" s="65"/>
      <c r="U82" s="306"/>
      <c r="AA82" s="7"/>
      <c r="AB82" s="7"/>
      <c r="AC82" s="7"/>
      <c r="AD82" s="7"/>
      <c r="AE82" s="7"/>
      <c r="AF82" s="60">
        <v>0</v>
      </c>
    </row>
    <row r="83" spans="1:32" s="60" customFormat="1" ht="18.75" customHeight="1">
      <c r="A83" s="1368"/>
      <c r="C83" s="65"/>
      <c r="D83" s="53"/>
      <c r="E83" s="308" t="str">
        <f>FHD_NUM_P_45</f>
        <v>8</v>
      </c>
      <c r="F83" s="150" t="str">
        <f>FHD_P_45</f>
        <v>Объём покупной воды</v>
      </c>
      <c r="G83" s="40" t="s">
        <v>580</v>
      </c>
      <c r="H83" s="559"/>
      <c r="I83" s="336"/>
      <c r="J83" s="64" t="str">
        <f>FHD_NOTE_P_45</f>
        <v/>
      </c>
      <c r="K83" s="305"/>
      <c r="L83" s="65"/>
      <c r="M83" s="65"/>
      <c r="R83" s="65"/>
      <c r="U83" s="306"/>
      <c r="AA83" s="7"/>
      <c r="AB83" s="7"/>
      <c r="AC83" s="7"/>
      <c r="AD83" s="7"/>
      <c r="AE83" s="7"/>
      <c r="AF83" s="60">
        <v>0</v>
      </c>
    </row>
    <row r="84" spans="1:32" s="60" customFormat="1" ht="18.75" customHeight="1">
      <c r="A84" s="1368"/>
      <c r="C84" s="65"/>
      <c r="D84" s="334"/>
      <c r="E84" s="308" t="str">
        <f>FHD_NUM_P_46</f>
        <v>9</v>
      </c>
      <c r="F84" s="150" t="str">
        <f>FHD_P_46</f>
        <v>Объём воды, пропущенной через очистные сооружения</v>
      </c>
      <c r="G84" s="40" t="s">
        <v>580</v>
      </c>
      <c r="H84" s="559"/>
      <c r="I84" s="336"/>
      <c r="J84" s="64" t="str">
        <f>FHD_NOTE_P_46</f>
        <v/>
      </c>
      <c r="K84" s="305"/>
      <c r="L84" s="65"/>
      <c r="M84" s="65"/>
      <c r="R84" s="65"/>
      <c r="U84" s="306"/>
      <c r="AA84" s="7"/>
      <c r="AB84" s="7"/>
      <c r="AC84" s="7"/>
      <c r="AD84" s="7"/>
      <c r="AE84" s="7"/>
      <c r="AF84" s="60">
        <v>0</v>
      </c>
    </row>
    <row r="85" spans="1:32" s="60" customFormat="1" ht="18.75" customHeight="1">
      <c r="A85" s="1368"/>
      <c r="C85" s="65"/>
      <c r="D85" s="53"/>
      <c r="E85" s="308" t="str">
        <f>FHD_NUM_P_47</f>
        <v>10</v>
      </c>
      <c r="F85" s="150" t="str">
        <f>FHD_P_47</f>
        <v>Объём отпущенной потребителям воды, в том числе:</v>
      </c>
      <c r="G85" s="40" t="s">
        <v>580</v>
      </c>
      <c r="H85" s="559"/>
      <c r="I85" s="336"/>
      <c r="J85" s="64" t="str">
        <f>FHD_NOTE_P_47</f>
        <v>Указывается общий объем отпущенной потребителям воды.</v>
      </c>
      <c r="K85" s="305"/>
      <c r="L85" s="65"/>
      <c r="M85" s="65"/>
      <c r="R85" s="65"/>
      <c r="U85" s="306"/>
      <c r="AA85" s="7"/>
      <c r="AB85" s="7"/>
      <c r="AC85" s="7"/>
      <c r="AD85" s="7"/>
      <c r="AE85" s="7"/>
      <c r="AF85" s="60">
        <v>0</v>
      </c>
    </row>
    <row r="86" spans="1:32" s="10" customFormat="1" ht="18.75" customHeight="1">
      <c r="A86" s="1368"/>
      <c r="B86" s="60"/>
      <c r="C86" s="65"/>
      <c r="D86" s="53"/>
      <c r="E86" s="308" t="str">
        <f>FHD_NUM_P_48</f>
        <v>10.1</v>
      </c>
      <c r="F86" s="150" t="str">
        <f>FHD_P_48</f>
        <v>Объём отпущенной потребителям воды, определенный по приборам учета</v>
      </c>
      <c r="G86" s="40" t="s">
        <v>580</v>
      </c>
      <c r="H86" s="559"/>
      <c r="I86" s="336"/>
      <c r="J86" s="64" t="str">
        <f>FHD_NOTE_P_48</f>
        <v/>
      </c>
      <c r="K86" s="305"/>
      <c r="L86" s="65"/>
      <c r="M86" s="65"/>
      <c r="N86" s="60"/>
      <c r="O86" s="60"/>
      <c r="P86" s="60"/>
      <c r="Q86" s="60"/>
      <c r="R86" s="65"/>
      <c r="S86" s="60"/>
      <c r="T86" s="60"/>
      <c r="U86" s="306"/>
      <c r="V86" s="60"/>
      <c r="W86" s="60"/>
      <c r="X86" s="60"/>
      <c r="Y86" s="60"/>
      <c r="Z86" s="60"/>
      <c r="AA86" s="7"/>
      <c r="AB86" s="7"/>
      <c r="AC86" s="7"/>
      <c r="AD86" s="7"/>
      <c r="AE86" s="7"/>
      <c r="AF86" s="10">
        <v>0</v>
      </c>
    </row>
    <row r="87" spans="1:32" s="10" customFormat="1" ht="18.75" customHeight="1">
      <c r="A87" s="1368"/>
      <c r="B87" s="60"/>
      <c r="C87" s="65"/>
      <c r="D87" s="53"/>
      <c r="E87" s="308" t="str">
        <f>FHD_NUM_P_49</f>
        <v>10.2</v>
      </c>
      <c r="F87" s="150" t="str">
        <f>FHD_P_49</f>
        <v>Объём отпущенной потребителям воды, определенный расчетным способом</v>
      </c>
      <c r="G87" s="40" t="s">
        <v>580</v>
      </c>
      <c r="H87" s="560">
        <f>SUM(H88:H89)</f>
        <v>0</v>
      </c>
      <c r="I87" s="431">
        <f>SUM(I88:I89)</f>
        <v>0</v>
      </c>
      <c r="J87" s="64" t="str">
        <f>FHD_NOTE_P_49</f>
        <v/>
      </c>
      <c r="K87" s="305"/>
      <c r="L87" s="65"/>
      <c r="M87" s="65"/>
      <c r="N87" s="60"/>
      <c r="O87" s="60"/>
      <c r="P87" s="60"/>
      <c r="Q87" s="60"/>
      <c r="R87" s="65"/>
      <c r="S87" s="60"/>
      <c r="T87" s="60"/>
      <c r="U87" s="306"/>
      <c r="V87" s="60"/>
      <c r="W87" s="60"/>
      <c r="X87" s="60"/>
      <c r="Y87" s="60"/>
      <c r="Z87" s="60"/>
      <c r="AA87" s="7"/>
      <c r="AB87" s="7"/>
      <c r="AC87" s="7"/>
      <c r="AD87" s="7"/>
      <c r="AE87" s="7"/>
      <c r="AF87" s="10">
        <v>0</v>
      </c>
    </row>
    <row r="88" spans="1:32" s="10" customFormat="1" ht="18.75" customHeight="1">
      <c r="A88" s="1368"/>
      <c r="B88" s="60"/>
      <c r="C88" s="65"/>
      <c r="D88" s="53"/>
      <c r="E88" s="308" t="str">
        <f>FHD_NUM_P_50</f>
        <v>10.2.1</v>
      </c>
      <c r="F88" s="150" t="str">
        <f>FHD_P_50</f>
        <v>Объём отпущенной потребителям воды, определенный по нормативам потребления коммунальных услуг</v>
      </c>
      <c r="G88" s="40" t="s">
        <v>580</v>
      </c>
      <c r="H88" s="559"/>
      <c r="I88" s="336"/>
      <c r="J88" s="64" t="str">
        <f>FHD_NOTE_P_50</f>
        <v/>
      </c>
      <c r="K88" s="305"/>
      <c r="L88" s="65"/>
      <c r="M88" s="65"/>
      <c r="N88" s="60"/>
      <c r="O88" s="60"/>
      <c r="P88" s="60"/>
      <c r="Q88" s="60"/>
      <c r="R88" s="65"/>
      <c r="S88" s="60"/>
      <c r="T88" s="60"/>
      <c r="U88" s="306"/>
      <c r="V88" s="60"/>
      <c r="W88" s="60"/>
      <c r="X88" s="60"/>
      <c r="Y88" s="60"/>
      <c r="Z88" s="60"/>
      <c r="AA88" s="7"/>
      <c r="AB88" s="7"/>
      <c r="AC88" s="7"/>
      <c r="AD88" s="7"/>
      <c r="AE88" s="7"/>
      <c r="AF88" s="10">
        <v>0</v>
      </c>
    </row>
    <row r="89" spans="1:32" s="10" customFormat="1" ht="18.75" customHeight="1">
      <c r="A89" s="1368"/>
      <c r="B89" s="60"/>
      <c r="C89" s="65"/>
      <c r="D89" s="53"/>
      <c r="E89" s="308" t="str">
        <f>FHD_NUM_P_51</f>
        <v>10.2.2</v>
      </c>
      <c r="F89" s="150" t="str">
        <f>FHD_P_51</f>
        <v xml:space="preserve">Объём отпущенной потребителям воды, определенный по нормативам потребления коммунальных ресурсов </v>
      </c>
      <c r="G89" s="40" t="s">
        <v>580</v>
      </c>
      <c r="H89" s="559"/>
      <c r="I89" s="336"/>
      <c r="J89" s="64" t="str">
        <f>FHD_NOTE_P_51</f>
        <v/>
      </c>
      <c r="K89" s="305"/>
      <c r="L89" s="65"/>
      <c r="M89" s="65"/>
      <c r="N89" s="60"/>
      <c r="O89" s="60"/>
      <c r="P89" s="60"/>
      <c r="Q89" s="60"/>
      <c r="R89" s="65"/>
      <c r="S89" s="60"/>
      <c r="T89" s="60"/>
      <c r="U89" s="306"/>
      <c r="V89" s="60"/>
      <c r="W89" s="60"/>
      <c r="X89" s="60"/>
      <c r="Y89" s="60"/>
      <c r="Z89" s="60"/>
      <c r="AA89" s="7"/>
      <c r="AB89" s="7"/>
      <c r="AC89" s="7"/>
      <c r="AD89" s="7"/>
      <c r="AE89" s="7"/>
      <c r="AF89" s="10">
        <v>0</v>
      </c>
    </row>
    <row r="90" spans="1:32" s="10" customFormat="1" ht="18.75" customHeight="1">
      <c r="A90" s="1368"/>
      <c r="B90" s="60"/>
      <c r="C90" s="65"/>
      <c r="D90" s="53"/>
      <c r="E90" s="308" t="str">
        <f>FHD_NUM_P_52</f>
        <v>11</v>
      </c>
      <c r="F90" s="150" t="str">
        <f>FHD_P_52</f>
        <v>Потери воды в сетях</v>
      </c>
      <c r="G90" s="40" t="s">
        <v>557</v>
      </c>
      <c r="H90" s="558"/>
      <c r="I90" s="318"/>
      <c r="J90" s="64" t="str">
        <f>FHD_NOTE_P_52</f>
        <v/>
      </c>
      <c r="K90" s="305"/>
      <c r="L90" s="65"/>
      <c r="M90" s="65"/>
      <c r="N90" s="60"/>
      <c r="O90" s="60"/>
      <c r="P90" s="60"/>
      <c r="Q90" s="60"/>
      <c r="R90" s="65"/>
      <c r="S90" s="60"/>
      <c r="T90" s="60"/>
      <c r="U90" s="306"/>
      <c r="V90" s="60"/>
      <c r="W90" s="60"/>
      <c r="X90" s="60"/>
      <c r="Y90" s="60"/>
      <c r="Z90" s="60"/>
      <c r="AA90" s="7"/>
      <c r="AB90" s="7"/>
      <c r="AC90" s="7"/>
      <c r="AD90" s="7"/>
      <c r="AE90" s="7"/>
      <c r="AF90" s="10">
        <v>0</v>
      </c>
    </row>
    <row r="91" spans="1:32" s="60" customFormat="1" ht="18.75" hidden="1" customHeight="1">
      <c r="A91" s="1368" t="s">
        <v>581</v>
      </c>
      <c r="C91" s="65"/>
      <c r="D91" s="53"/>
      <c r="E91" s="308" t="str">
        <f>FHD_NUM_P_53</f>
        <v/>
      </c>
      <c r="F91" s="150" t="str">
        <f>FHD_P_53</f>
        <v/>
      </c>
      <c r="G91" s="40" t="s">
        <v>580</v>
      </c>
      <c r="H91" s="559"/>
      <c r="I91" s="336"/>
      <c r="J91" s="64" t="str">
        <f>FHD_NOTE_P_53</f>
        <v/>
      </c>
      <c r="K91" s="305"/>
      <c r="L91" s="65"/>
      <c r="M91" s="65"/>
      <c r="R91" s="65"/>
      <c r="U91" s="306"/>
      <c r="AA91" s="7"/>
      <c r="AB91" s="7"/>
      <c r="AC91" s="7"/>
      <c r="AD91" s="7"/>
      <c r="AE91" s="7"/>
      <c r="AF91" s="60">
        <v>0</v>
      </c>
    </row>
    <row r="92" spans="1:32" s="60" customFormat="1" ht="18.75" hidden="1" customHeight="1">
      <c r="A92" s="1368"/>
      <c r="C92" s="65"/>
      <c r="D92" s="53"/>
      <c r="E92" s="308" t="str">
        <f>FHD_NUM_P_54</f>
        <v/>
      </c>
      <c r="F92" s="150" t="str">
        <f>FHD_P_54</f>
        <v/>
      </c>
      <c r="G92" s="40" t="s">
        <v>580</v>
      </c>
      <c r="H92" s="559"/>
      <c r="I92" s="336"/>
      <c r="J92" s="64" t="str">
        <f>FHD_NOTE_P_54</f>
        <v/>
      </c>
      <c r="K92" s="305"/>
      <c r="L92" s="65"/>
      <c r="M92" s="65"/>
      <c r="R92" s="65"/>
      <c r="U92" s="306"/>
      <c r="AA92" s="7"/>
      <c r="AB92" s="7"/>
      <c r="AC92" s="7"/>
      <c r="AD92" s="7"/>
      <c r="AE92" s="7"/>
      <c r="AF92" s="60">
        <v>0</v>
      </c>
    </row>
    <row r="93" spans="1:32" s="60" customFormat="1" ht="18.75" hidden="1" customHeight="1">
      <c r="A93" s="1368"/>
      <c r="C93" s="65"/>
      <c r="D93" s="334"/>
      <c r="E93" s="308" t="str">
        <f>FHD_NUM_P_55</f>
        <v/>
      </c>
      <c r="F93" s="150" t="str">
        <f>FHD_P_55</f>
        <v/>
      </c>
      <c r="G93" s="854"/>
      <c r="H93" s="559"/>
      <c r="I93" s="336"/>
      <c r="J93" s="64" t="str">
        <f>FHD_NOTE_P_55</f>
        <v/>
      </c>
      <c r="K93" s="305"/>
      <c r="L93" s="65"/>
      <c r="M93" s="65"/>
      <c r="R93" s="65"/>
      <c r="U93" s="306"/>
      <c r="AA93" s="7"/>
      <c r="AB93" s="7"/>
      <c r="AC93" s="7"/>
      <c r="AD93" s="7"/>
      <c r="AE93" s="7"/>
      <c r="AF93" s="60">
        <v>0</v>
      </c>
    </row>
    <row r="94" spans="1:32" s="60" customFormat="1" ht="18.75" hidden="1" customHeight="1">
      <c r="A94" s="1368"/>
      <c r="C94" s="65"/>
      <c r="D94" s="53"/>
      <c r="E94" s="308" t="str">
        <f>FHD_NUM_P_56</f>
        <v/>
      </c>
      <c r="F94" s="150" t="str">
        <f>FHD_P_56</f>
        <v/>
      </c>
      <c r="G94" s="40" t="s">
        <v>582</v>
      </c>
      <c r="H94" s="559"/>
      <c r="I94" s="336"/>
      <c r="J94" s="64" t="str">
        <f>FHD_NOTE_P_56</f>
        <v/>
      </c>
      <c r="K94" s="305"/>
      <c r="L94" s="65"/>
      <c r="M94" s="65"/>
      <c r="R94" s="65"/>
      <c r="U94" s="306"/>
      <c r="AA94" s="7"/>
      <c r="AB94" s="7"/>
      <c r="AC94" s="7"/>
      <c r="AD94" s="7"/>
      <c r="AE94" s="7"/>
      <c r="AF94" s="60">
        <v>0</v>
      </c>
    </row>
    <row r="95" spans="1:32" s="10" customFormat="1" ht="18.75" hidden="1" customHeight="1">
      <c r="A95" s="1368"/>
      <c r="B95" s="60"/>
      <c r="C95" s="65"/>
      <c r="D95" s="53"/>
      <c r="E95" s="308" t="str">
        <f>FHD_NUM_P_57</f>
        <v/>
      </c>
      <c r="F95" s="150" t="str">
        <f>FHD_P_57</f>
        <v/>
      </c>
      <c r="G95" s="40" t="s">
        <v>557</v>
      </c>
      <c r="H95" s="558"/>
      <c r="I95" s="318"/>
      <c r="J95" s="64" t="str">
        <f>FHD_NOTE_P_57</f>
        <v/>
      </c>
      <c r="K95" s="305"/>
      <c r="L95" s="65"/>
      <c r="M95" s="65"/>
      <c r="N95" s="60"/>
      <c r="O95" s="60"/>
      <c r="P95" s="60"/>
      <c r="Q95" s="60"/>
      <c r="R95" s="65"/>
      <c r="S95" s="60"/>
      <c r="T95" s="60"/>
      <c r="U95" s="306"/>
      <c r="V95" s="60"/>
      <c r="W95" s="60"/>
      <c r="X95" s="60"/>
      <c r="Y95" s="60"/>
      <c r="Z95" s="60"/>
      <c r="AA95" s="7"/>
      <c r="AB95" s="7"/>
      <c r="AC95" s="7"/>
      <c r="AD95" s="7"/>
      <c r="AE95" s="7"/>
      <c r="AF95" s="10">
        <v>0</v>
      </c>
    </row>
    <row r="96" spans="1:32" ht="18.75" hidden="1" customHeight="1">
      <c r="A96" s="1368" t="s">
        <v>583</v>
      </c>
      <c r="D96" s="53"/>
      <c r="E96" s="308" t="str">
        <f>FHD_NUM_P_58</f>
        <v/>
      </c>
      <c r="F96" s="150" t="str">
        <f>FHD_P_58</f>
        <v/>
      </c>
      <c r="G96" s="40" t="s">
        <v>580</v>
      </c>
      <c r="H96" s="559"/>
      <c r="I96" s="336"/>
      <c r="J96" s="64" t="str">
        <f>FHD_NOTE_P_58</f>
        <v/>
      </c>
      <c r="K96" s="305"/>
      <c r="AF96" s="10">
        <v>0</v>
      </c>
    </row>
    <row r="97" spans="1:32" ht="18.75" hidden="1" customHeight="1">
      <c r="A97" s="1368"/>
      <c r="D97" s="53"/>
      <c r="E97" s="308" t="str">
        <f>FHD_NUM_P_59</f>
        <v/>
      </c>
      <c r="F97" s="150" t="str">
        <f>FHD_P_59</f>
        <v/>
      </c>
      <c r="G97" s="40" t="s">
        <v>580</v>
      </c>
      <c r="H97" s="559"/>
      <c r="I97" s="336"/>
      <c r="J97" s="64" t="str">
        <f>FHD_NOTE_P_59</f>
        <v/>
      </c>
      <c r="K97" s="305"/>
      <c r="AF97" s="10">
        <v>0</v>
      </c>
    </row>
    <row r="98" spans="1:32" ht="18.75" hidden="1" customHeight="1">
      <c r="A98" s="1368"/>
      <c r="D98" s="53"/>
      <c r="E98" s="308" t="str">
        <f>FHD_NUM_P_60</f>
        <v/>
      </c>
      <c r="F98" s="150" t="str">
        <f>FHD_P_60</f>
        <v/>
      </c>
      <c r="G98" s="40" t="s">
        <v>580</v>
      </c>
      <c r="H98" s="559"/>
      <c r="I98" s="336"/>
      <c r="J98" s="64" t="str">
        <f>FHD_NOTE_P_60</f>
        <v/>
      </c>
      <c r="K98" s="305"/>
      <c r="AF98" s="10">
        <v>0</v>
      </c>
    </row>
    <row r="99" spans="1:32" s="60" customFormat="1" ht="18.75" hidden="1" customHeight="1">
      <c r="A99" s="1368" t="s">
        <v>584</v>
      </c>
      <c r="C99" s="65"/>
      <c r="D99" s="53"/>
      <c r="E99" s="308" t="str">
        <f>FHD_NUM_P_61</f>
        <v/>
      </c>
      <c r="F99" s="150" t="str">
        <f>FHD_P_61</f>
        <v/>
      </c>
      <c r="G99" s="40" t="s">
        <v>555</v>
      </c>
      <c r="H99" s="561"/>
      <c r="I99" s="427"/>
      <c r="J99" s="64" t="str">
        <f>FHD_NOTE_P_61</f>
        <v/>
      </c>
      <c r="K99" s="305"/>
      <c r="L99" s="65"/>
      <c r="M99" s="65"/>
      <c r="R99" s="65"/>
      <c r="U99" s="306"/>
      <c r="AA99" s="7"/>
      <c r="AB99" s="7"/>
      <c r="AC99" s="7"/>
      <c r="AD99" s="7"/>
      <c r="AE99" s="7"/>
      <c r="AF99" s="60">
        <v>0</v>
      </c>
    </row>
    <row r="100" spans="1:32" s="65" customFormat="1" ht="0.75" hidden="1" customHeight="1">
      <c r="A100" s="1368"/>
      <c r="D100" s="310"/>
      <c r="E100" s="313" t="str">
        <f>E99&amp;".0"</f>
        <v>.0</v>
      </c>
      <c r="F100" s="576"/>
      <c r="G100" s="577"/>
      <c r="H100" s="574"/>
      <c r="I100" s="574"/>
      <c r="J100" s="578"/>
      <c r="AF100" s="65">
        <v>0</v>
      </c>
    </row>
    <row r="101" spans="1:32" ht="15" hidden="1" customHeight="1">
      <c r="A101" s="1368"/>
      <c r="D101" s="74"/>
      <c r="E101" s="555"/>
      <c r="F101" s="556" t="s">
        <v>585</v>
      </c>
      <c r="G101" s="331"/>
      <c r="H101" s="332"/>
      <c r="I101" s="332"/>
      <c r="J101" s="196" t="s">
        <v>586</v>
      </c>
      <c r="K101" s="305"/>
      <c r="AF101" s="10">
        <v>0</v>
      </c>
    </row>
    <row r="102" spans="1:32" s="60" customFormat="1" ht="18.75" hidden="1" customHeight="1">
      <c r="A102" s="1368"/>
      <c r="C102" s="65"/>
      <c r="D102" s="53"/>
      <c r="E102" s="308" t="str">
        <f>FHD_NUM_P_62</f>
        <v/>
      </c>
      <c r="F102" s="150" t="str">
        <f>FHD_P_62</f>
        <v/>
      </c>
      <c r="G102" s="392" t="s">
        <v>555</v>
      </c>
      <c r="H102" s="318"/>
      <c r="I102" s="318"/>
      <c r="J102" s="64" t="str">
        <f>FHD_NOTE_P_62</f>
        <v/>
      </c>
      <c r="K102" s="305"/>
      <c r="L102" s="65"/>
      <c r="M102" s="65"/>
      <c r="R102" s="65"/>
      <c r="U102" s="306"/>
      <c r="AA102" s="7"/>
      <c r="AB102" s="7"/>
      <c r="AC102" s="7"/>
      <c r="AD102" s="7"/>
      <c r="AE102" s="7"/>
      <c r="AF102" s="60">
        <v>0</v>
      </c>
    </row>
    <row r="103" spans="1:32" s="60" customFormat="1" ht="18.75" hidden="1" customHeight="1">
      <c r="A103" s="1368"/>
      <c r="C103" s="65"/>
      <c r="D103" s="53"/>
      <c r="E103" s="308" t="str">
        <f>FHD_NUM_P_63</f>
        <v/>
      </c>
      <c r="F103" s="150" t="str">
        <f>FHD_P_63</f>
        <v/>
      </c>
      <c r="G103" s="392" t="s">
        <v>582</v>
      </c>
      <c r="H103" s="336"/>
      <c r="I103" s="336"/>
      <c r="J103" s="64" t="str">
        <f>FHD_NOTE_P_63</f>
        <v/>
      </c>
      <c r="K103" s="305"/>
      <c r="L103" s="65"/>
      <c r="M103" s="65"/>
      <c r="R103" s="65"/>
      <c r="U103" s="306"/>
      <c r="AA103" s="7"/>
      <c r="AB103" s="7"/>
      <c r="AC103" s="7"/>
      <c r="AD103" s="7"/>
      <c r="AE103" s="7"/>
      <c r="AF103" s="60">
        <v>0</v>
      </c>
    </row>
    <row r="104" spans="1:32" s="60" customFormat="1" ht="18.75" hidden="1" customHeight="1">
      <c r="A104" s="1368"/>
      <c r="C104" s="65" t="s">
        <v>587</v>
      </c>
      <c r="D104" s="53"/>
      <c r="E104" s="308" t="str">
        <f>FHD_NUM_P_64</f>
        <v/>
      </c>
      <c r="F104" s="150" t="str">
        <f>FHD_P_64</f>
        <v/>
      </c>
      <c r="G104" s="392" t="s">
        <v>582</v>
      </c>
      <c r="H104" s="307"/>
      <c r="I104" s="307"/>
      <c r="J104" s="64" t="str">
        <f>FHD_NOTE_P_64</f>
        <v/>
      </c>
      <c r="K104" s="305"/>
      <c r="L104" s="65"/>
      <c r="M104" s="65"/>
      <c r="R104" s="65"/>
      <c r="U104" s="306"/>
      <c r="AA104" s="7"/>
      <c r="AB104" s="7"/>
      <c r="AC104" s="7"/>
      <c r="AD104" s="7"/>
      <c r="AE104" s="7"/>
      <c r="AF104" s="60">
        <v>0</v>
      </c>
    </row>
    <row r="105" spans="1:32" s="60" customFormat="1" ht="18.75" hidden="1" customHeight="1">
      <c r="A105" s="1368"/>
      <c r="C105" s="65"/>
      <c r="D105" s="53"/>
      <c r="E105" s="308" t="str">
        <f>FHD_NUM_P_65</f>
        <v/>
      </c>
      <c r="F105" s="150" t="str">
        <f>FHD_P_65</f>
        <v/>
      </c>
      <c r="G105" s="392" t="s">
        <v>582</v>
      </c>
      <c r="H105" s="336"/>
      <c r="I105" s="336"/>
      <c r="J105" s="64" t="str">
        <f>FHD_NOTE_P_65</f>
        <v/>
      </c>
      <c r="K105" s="305"/>
      <c r="L105" s="65"/>
      <c r="M105" s="65"/>
      <c r="R105" s="65"/>
      <c r="U105" s="306"/>
      <c r="AA105" s="7"/>
      <c r="AB105" s="7"/>
      <c r="AC105" s="7"/>
      <c r="AD105" s="7"/>
      <c r="AE105" s="7"/>
      <c r="AF105" s="60">
        <v>0</v>
      </c>
    </row>
    <row r="106" spans="1:32" s="60" customFormat="1" ht="18.75" hidden="1" customHeight="1">
      <c r="A106" s="1368"/>
      <c r="C106" s="65"/>
      <c r="D106" s="53"/>
      <c r="E106" s="308" t="str">
        <f>FHD_NUM_P_66</f>
        <v/>
      </c>
      <c r="F106" s="320" t="str">
        <f>FHD_P_66</f>
        <v/>
      </c>
      <c r="G106" s="392" t="s">
        <v>582</v>
      </c>
      <c r="H106" s="336"/>
      <c r="I106" s="336"/>
      <c r="J106" s="64" t="str">
        <f>FHD_NOTE_P_66</f>
        <v/>
      </c>
      <c r="K106" s="305"/>
      <c r="L106" s="65"/>
      <c r="M106" s="65"/>
      <c r="R106" s="65"/>
      <c r="U106" s="306"/>
      <c r="AA106" s="7"/>
      <c r="AB106" s="7"/>
      <c r="AC106" s="7"/>
      <c r="AD106" s="7"/>
      <c r="AE106" s="7"/>
      <c r="AF106" s="60">
        <v>0</v>
      </c>
    </row>
    <row r="107" spans="1:32" s="60" customFormat="1" ht="18.75" hidden="1" customHeight="1">
      <c r="A107" s="1368"/>
      <c r="C107" s="65"/>
      <c r="D107" s="53"/>
      <c r="E107" s="308" t="str">
        <f>FHD_NUM_P_67</f>
        <v/>
      </c>
      <c r="F107" s="335" t="str">
        <f>FHD_P_67</f>
        <v/>
      </c>
      <c r="G107" s="392" t="s">
        <v>582</v>
      </c>
      <c r="H107" s="336"/>
      <c r="I107" s="336"/>
      <c r="J107" s="64" t="str">
        <f>FHD_NOTE_P_67</f>
        <v/>
      </c>
      <c r="K107" s="305"/>
      <c r="L107" s="65"/>
      <c r="M107" s="65"/>
      <c r="R107" s="65"/>
      <c r="U107" s="306"/>
      <c r="AA107" s="7"/>
      <c r="AB107" s="7"/>
      <c r="AC107" s="7"/>
      <c r="AD107" s="7"/>
      <c r="AE107" s="7"/>
      <c r="AF107" s="60">
        <v>0</v>
      </c>
    </row>
    <row r="108" spans="1:32" s="60" customFormat="1" ht="18.75" hidden="1" customHeight="1">
      <c r="A108" s="1368"/>
      <c r="C108" s="65"/>
      <c r="D108" s="53"/>
      <c r="E108" s="308" t="str">
        <f>FHD_NUM_P_68</f>
        <v/>
      </c>
      <c r="F108" s="320" t="str">
        <f>FHD_P_68</f>
        <v/>
      </c>
      <c r="G108" s="392" t="s">
        <v>582</v>
      </c>
      <c r="H108" s="336"/>
      <c r="I108" s="336"/>
      <c r="J108" s="64" t="str">
        <f>FHD_NOTE_P_68</f>
        <v/>
      </c>
      <c r="K108" s="305"/>
      <c r="L108" s="65"/>
      <c r="M108" s="65"/>
      <c r="R108" s="65"/>
      <c r="U108" s="306"/>
      <c r="AA108" s="7"/>
      <c r="AB108" s="7"/>
      <c r="AC108" s="7"/>
      <c r="AD108" s="7"/>
      <c r="AE108" s="7"/>
      <c r="AF108" s="60">
        <v>0</v>
      </c>
    </row>
    <row r="109" spans="1:32" s="60" customFormat="1" ht="18.75" hidden="1" customHeight="1">
      <c r="A109" s="1368"/>
      <c r="C109" s="65"/>
      <c r="D109" s="53"/>
      <c r="E109" s="308" t="str">
        <f>FHD_NUM_P_69</f>
        <v/>
      </c>
      <c r="F109" s="320" t="str">
        <f>FHD_P_69</f>
        <v/>
      </c>
      <c r="G109" s="392" t="s">
        <v>582</v>
      </c>
      <c r="H109" s="336"/>
      <c r="I109" s="336"/>
      <c r="J109" s="64" t="str">
        <f>FHD_NOTE_P_69</f>
        <v/>
      </c>
      <c r="K109" s="305"/>
      <c r="L109" s="65"/>
      <c r="M109" s="65"/>
      <c r="R109" s="65"/>
      <c r="U109" s="306"/>
      <c r="AA109" s="7"/>
      <c r="AB109" s="7"/>
      <c r="AC109" s="7"/>
      <c r="AD109" s="7"/>
      <c r="AE109" s="7"/>
      <c r="AF109" s="60">
        <v>0</v>
      </c>
    </row>
    <row r="110" spans="1:32" s="60" customFormat="1" ht="22.5" hidden="1" customHeight="1">
      <c r="A110" s="1368"/>
      <c r="C110" s="65"/>
      <c r="D110" s="53"/>
      <c r="E110" s="308" t="str">
        <f>FHD_NUM_P_70</f>
        <v/>
      </c>
      <c r="F110" s="150" t="str">
        <f>FHD_P_70</f>
        <v/>
      </c>
      <c r="G110" s="392" t="s">
        <v>588</v>
      </c>
      <c r="H110" s="318"/>
      <c r="I110" s="318"/>
      <c r="J110" s="64" t="str">
        <f>FHD_NOTE_P_70</f>
        <v/>
      </c>
      <c r="K110" s="305"/>
      <c r="L110" s="65"/>
      <c r="M110" s="65"/>
      <c r="R110" s="65"/>
      <c r="U110" s="306"/>
      <c r="AA110" s="7"/>
      <c r="AB110" s="7"/>
      <c r="AC110" s="7"/>
      <c r="AD110" s="7"/>
      <c r="AE110" s="7"/>
      <c r="AF110" s="60">
        <v>0</v>
      </c>
    </row>
    <row r="111" spans="1:32" s="60" customFormat="1" ht="22.5" hidden="1" customHeight="1">
      <c r="A111" s="1368"/>
      <c r="C111" s="65"/>
      <c r="D111" s="53"/>
      <c r="E111" s="308" t="str">
        <f>FHD_NUM_P_71</f>
        <v/>
      </c>
      <c r="F111" s="150" t="str">
        <f>FHD_P_71</f>
        <v/>
      </c>
      <c r="G111" s="392" t="s">
        <v>588</v>
      </c>
      <c r="H111" s="318"/>
      <c r="I111" s="318"/>
      <c r="J111" s="64" t="str">
        <f>FHD_NOTE_P_71</f>
        <v/>
      </c>
      <c r="K111" s="305"/>
      <c r="L111" s="65"/>
      <c r="M111" s="65"/>
      <c r="R111" s="65"/>
      <c r="U111" s="306"/>
      <c r="AA111" s="7"/>
      <c r="AB111" s="7"/>
      <c r="AC111" s="7"/>
      <c r="AD111" s="7"/>
      <c r="AE111" s="7"/>
      <c r="AF111" s="60">
        <v>0</v>
      </c>
    </row>
    <row r="112" spans="1:32" ht="19.899999999999999" customHeight="1">
      <c r="D112" s="53"/>
      <c r="E112" s="308" t="str">
        <f>FHD_NUM_P_72</f>
        <v>12</v>
      </c>
      <c r="F112" s="150" t="str">
        <f>FHD_P_72</f>
        <v>Среднесписочная численность основного производственного персонала</v>
      </c>
      <c r="G112" s="392" t="s">
        <v>589</v>
      </c>
      <c r="H112" s="336"/>
      <c r="I112" s="336"/>
      <c r="J112" s="64" t="str">
        <f>FHD_NOTE_P_72</f>
        <v/>
      </c>
      <c r="K112" s="305"/>
      <c r="AF112" s="10">
        <v>19</v>
      </c>
    </row>
    <row r="113" spans="1:32" ht="18.75" hidden="1" customHeight="1">
      <c r="A113" s="571" t="s">
        <v>590</v>
      </c>
      <c r="D113" s="53"/>
      <c r="E113" s="308" t="str">
        <f>FHD_NUM_P_73</f>
        <v/>
      </c>
      <c r="F113" s="150" t="str">
        <f>FHD_P_73</f>
        <v/>
      </c>
      <c r="G113" s="554" t="s">
        <v>589</v>
      </c>
      <c r="H113" s="553"/>
      <c r="I113" s="553"/>
      <c r="J113" s="64" t="str">
        <f>FHD_NOTE_P_73</f>
        <v/>
      </c>
      <c r="K113" s="305"/>
      <c r="AF113" s="10">
        <v>0</v>
      </c>
    </row>
    <row r="114" spans="1:32" ht="33.75" customHeight="1">
      <c r="A114" s="571" t="s">
        <v>591</v>
      </c>
      <c r="D114" s="53"/>
      <c r="E114" s="308" t="str">
        <f>FHD_NUM_P_74</f>
        <v>13</v>
      </c>
      <c r="F114" s="150" t="str">
        <f>FHD_P_74</f>
        <v>Удельный расход электрической энергии на подачу воды в сеть</v>
      </c>
      <c r="G114" s="392" t="s">
        <v>592</v>
      </c>
      <c r="H114" s="336"/>
      <c r="I114" s="336"/>
      <c r="J114" s="64" t="str">
        <f>FHD_NOTE_P_74</f>
        <v/>
      </c>
      <c r="K114" s="305"/>
      <c r="AF114" s="10">
        <v>0</v>
      </c>
    </row>
    <row r="115" spans="1:32" s="10" customFormat="1" ht="18.75" customHeight="1">
      <c r="A115" s="1368" t="s">
        <v>593</v>
      </c>
      <c r="B115" s="60"/>
      <c r="C115" s="65"/>
      <c r="D115" s="53"/>
      <c r="E115" s="308" t="str">
        <f>FHD_NUM_P_75</f>
        <v>14</v>
      </c>
      <c r="F115" s="150" t="str">
        <f>FHD_P_75</f>
        <v>Расход воды на собственные нужды, в том числе:</v>
      </c>
      <c r="G115" s="392" t="s">
        <v>557</v>
      </c>
      <c r="H115" s="318"/>
      <c r="I115" s="318"/>
      <c r="J115" s="64" t="str">
        <f>FHD_NOTE_P_75</f>
        <v>Указывается доля общего расхода воды на собственные нужны от объема отпуска воды потребителям.</v>
      </c>
      <c r="K115" s="305"/>
      <c r="L115" s="65"/>
      <c r="M115" s="65"/>
      <c r="N115" s="60"/>
      <c r="O115" s="60"/>
      <c r="P115" s="60"/>
      <c r="Q115" s="60"/>
      <c r="R115" s="65"/>
      <c r="S115" s="60"/>
      <c r="T115" s="60"/>
      <c r="U115" s="306"/>
      <c r="V115" s="60"/>
      <c r="W115" s="60"/>
      <c r="X115" s="60"/>
      <c r="Y115" s="60"/>
      <c r="Z115" s="60"/>
      <c r="AA115" s="7"/>
      <c r="AB115" s="7"/>
      <c r="AC115" s="7"/>
      <c r="AD115" s="7"/>
      <c r="AE115" s="7"/>
      <c r="AF115" s="10">
        <v>0</v>
      </c>
    </row>
    <row r="116" spans="1:32" s="10" customFormat="1" ht="18.75" customHeight="1">
      <c r="A116" s="1368"/>
      <c r="B116" s="60"/>
      <c r="C116" s="65"/>
      <c r="D116" s="53"/>
      <c r="E116" s="308" t="str">
        <f>FHD_NUM_P_76</f>
        <v>14.1</v>
      </c>
      <c r="F116" s="150" t="str">
        <f>FHD_P_76</f>
        <v>Расход воды на хозяйственно-бытовые нужды</v>
      </c>
      <c r="G116" s="392" t="s">
        <v>557</v>
      </c>
      <c r="H116" s="318"/>
      <c r="I116" s="318"/>
      <c r="J116" s="64" t="str">
        <f>FHD_NOTE_P_76</f>
        <v>Указывается доля расхода воды на хозяйственно-бытовые нужны от объема отпуска воды потребителям.</v>
      </c>
      <c r="K116" s="305"/>
      <c r="L116" s="65"/>
      <c r="M116" s="65"/>
      <c r="N116" s="60"/>
      <c r="O116" s="60"/>
      <c r="P116" s="60"/>
      <c r="Q116" s="60"/>
      <c r="R116" s="65"/>
      <c r="S116" s="60"/>
      <c r="T116" s="60"/>
      <c r="U116" s="306"/>
      <c r="V116" s="60"/>
      <c r="W116" s="60"/>
      <c r="X116" s="60"/>
      <c r="Y116" s="60"/>
      <c r="Z116" s="60"/>
      <c r="AA116" s="7"/>
      <c r="AB116" s="7"/>
      <c r="AC116" s="7"/>
      <c r="AD116" s="7"/>
      <c r="AE116" s="7"/>
      <c r="AF116" s="10">
        <v>0</v>
      </c>
    </row>
    <row r="117" spans="1:32" s="10" customFormat="1" ht="18.75" customHeight="1">
      <c r="A117" s="1368"/>
      <c r="B117" s="60"/>
      <c r="C117" s="65"/>
      <c r="D117" s="53"/>
      <c r="E117" s="308" t="str">
        <f>FHD_NUM_P_77</f>
        <v>15</v>
      </c>
      <c r="F117" s="150" t="str">
        <f>FHD_P_77</f>
        <v>Показатель использования производственных объектов (по объему перекачки), в том числе:</v>
      </c>
      <c r="G117" s="392" t="s">
        <v>557</v>
      </c>
      <c r="H117" s="318"/>
      <c r="I117" s="318"/>
      <c r="J117" s="64"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305"/>
      <c r="L117" s="65"/>
      <c r="M117" s="65"/>
      <c r="N117" s="60"/>
      <c r="O117" s="60"/>
      <c r="P117" s="60"/>
      <c r="Q117" s="60"/>
      <c r="R117" s="65"/>
      <c r="S117" s="60"/>
      <c r="T117" s="60"/>
      <c r="U117" s="306"/>
      <c r="V117" s="60"/>
      <c r="W117" s="60"/>
      <c r="X117" s="60"/>
      <c r="Y117" s="60"/>
      <c r="Z117" s="60"/>
      <c r="AA117" s="7"/>
      <c r="AB117" s="7"/>
      <c r="AC117" s="7"/>
      <c r="AD117" s="7"/>
      <c r="AE117" s="7"/>
      <c r="AF117" s="10">
        <v>0</v>
      </c>
    </row>
    <row r="118" spans="1:32" s="65" customFormat="1" ht="0.75" customHeight="1">
      <c r="A118" s="1368"/>
      <c r="D118" s="310"/>
      <c r="E118" s="313" t="str">
        <f>E117&amp;".0"</f>
        <v>15.0</v>
      </c>
      <c r="F118" s="579"/>
      <c r="G118" s="893"/>
      <c r="H118" s="574"/>
      <c r="I118" s="574"/>
      <c r="J118" s="578"/>
      <c r="AF118" s="65">
        <v>0</v>
      </c>
    </row>
    <row r="119" spans="1:32" s="10" customFormat="1" ht="15" customHeight="1">
      <c r="A119" s="1368"/>
      <c r="B119" s="60"/>
      <c r="C119" s="65"/>
      <c r="D119" s="74"/>
      <c r="E119" s="555"/>
      <c r="F119" s="556" t="s">
        <v>594</v>
      </c>
      <c r="G119" s="331"/>
      <c r="H119" s="332"/>
      <c r="I119" s="332"/>
      <c r="J119" s="196" t="s">
        <v>595</v>
      </c>
      <c r="K119" s="305"/>
      <c r="L119" s="65"/>
      <c r="M119" s="65"/>
      <c r="N119" s="60"/>
      <c r="O119" s="60"/>
      <c r="P119" s="60"/>
      <c r="Q119" s="60"/>
      <c r="R119" s="65"/>
      <c r="S119" s="60"/>
      <c r="T119" s="60"/>
      <c r="U119" s="306"/>
      <c r="V119" s="60"/>
      <c r="W119" s="60"/>
      <c r="X119" s="60"/>
      <c r="Y119" s="60"/>
      <c r="Z119" s="60"/>
      <c r="AA119" s="7"/>
      <c r="AB119" s="7"/>
      <c r="AC119" s="7"/>
      <c r="AD119" s="7"/>
      <c r="AE119" s="7"/>
      <c r="AF119" s="10">
        <v>0</v>
      </c>
    </row>
    <row r="120" spans="1:32" ht="22.5" hidden="1" customHeight="1">
      <c r="A120" s="1368" t="s">
        <v>596</v>
      </c>
      <c r="D120" s="53"/>
      <c r="E120" s="308" t="str">
        <f>FHD_NUM_P_78</f>
        <v/>
      </c>
      <c r="F120" s="150" t="str">
        <f>FHD_P_78</f>
        <v/>
      </c>
      <c r="G120" s="392" t="s">
        <v>559</v>
      </c>
      <c r="H120" s="336"/>
      <c r="I120" s="336"/>
      <c r="J120" s="64" t="str">
        <f>FHD_NOTE_P_78</f>
        <v/>
      </c>
      <c r="K120" s="305"/>
      <c r="AF120" s="10">
        <v>0</v>
      </c>
    </row>
    <row r="121" spans="1:32" s="65" customFormat="1" ht="0.75" hidden="1" customHeight="1">
      <c r="A121" s="1368"/>
      <c r="D121" s="310"/>
      <c r="E121" s="313" t="str">
        <f>E120&amp;".0"</f>
        <v>.0</v>
      </c>
      <c r="F121" s="579"/>
      <c r="G121" s="893"/>
      <c r="H121" s="574"/>
      <c r="I121" s="574"/>
      <c r="J121" s="578"/>
      <c r="AF121" s="65">
        <v>0</v>
      </c>
    </row>
    <row r="122" spans="1:32" ht="15" hidden="1" customHeight="1">
      <c r="A122" s="1368"/>
      <c r="D122" s="74"/>
      <c r="E122" s="330"/>
      <c r="F122" s="107" t="s">
        <v>585</v>
      </c>
      <c r="G122" s="331"/>
      <c r="H122" s="332"/>
      <c r="I122" s="332"/>
      <c r="J122" s="196" t="s">
        <v>597</v>
      </c>
      <c r="K122" s="305"/>
      <c r="AF122" s="10">
        <v>0</v>
      </c>
    </row>
    <row r="123" spans="1:32" ht="22.5" hidden="1" customHeight="1">
      <c r="A123" s="1368"/>
      <c r="D123" s="53"/>
      <c r="E123" s="308" t="str">
        <f>FHD_NUM_P_79</f>
        <v/>
      </c>
      <c r="F123" s="150" t="str">
        <f>FHD_P_79</f>
        <v/>
      </c>
      <c r="G123" s="40" t="s">
        <v>561</v>
      </c>
      <c r="H123" s="336"/>
      <c r="I123" s="336"/>
      <c r="J123" s="64" t="str">
        <f>FHD_NOTE_P_79</f>
        <v/>
      </c>
      <c r="K123" s="305"/>
      <c r="AF123" s="10">
        <v>0</v>
      </c>
    </row>
    <row r="124" spans="1:32" s="65" customFormat="1" ht="0.75" hidden="1" customHeight="1">
      <c r="A124" s="1368"/>
      <c r="D124" s="310"/>
      <c r="E124" s="313" t="str">
        <f>E123&amp;".0"</f>
        <v>.0</v>
      </c>
      <c r="F124" s="580"/>
      <c r="G124" s="893"/>
      <c r="H124" s="574"/>
      <c r="I124" s="574"/>
      <c r="J124" s="578"/>
      <c r="AF124" s="65">
        <v>0</v>
      </c>
    </row>
    <row r="125" spans="1:32" ht="15" hidden="1" customHeight="1">
      <c r="A125" s="1368"/>
      <c r="D125" s="74"/>
      <c r="E125" s="330"/>
      <c r="F125" s="107" t="s">
        <v>585</v>
      </c>
      <c r="G125" s="331"/>
      <c r="H125" s="332"/>
      <c r="I125" s="332"/>
      <c r="J125" s="196" t="s">
        <v>598</v>
      </c>
      <c r="K125" s="305"/>
      <c r="AF125" s="10">
        <v>0</v>
      </c>
    </row>
    <row r="126" spans="1:32" ht="22.5" hidden="1" customHeight="1">
      <c r="A126" s="1368"/>
      <c r="D126" s="53"/>
      <c r="E126" s="308" t="str">
        <f>FHD_NUM_P_80</f>
        <v/>
      </c>
      <c r="F126" s="150" t="str">
        <f>FHD_P_80</f>
        <v/>
      </c>
      <c r="G126" s="40" t="s">
        <v>599</v>
      </c>
      <c r="H126" s="318"/>
      <c r="I126" s="318"/>
      <c r="J126" s="64" t="str">
        <f>FHD_NOTE_P_80</f>
        <v/>
      </c>
      <c r="K126" s="305"/>
      <c r="AF126" s="10">
        <v>0</v>
      </c>
    </row>
    <row r="127" spans="1:32" ht="18.75" hidden="1" customHeight="1">
      <c r="A127" s="1368"/>
      <c r="D127" s="53"/>
      <c r="E127" s="308" t="str">
        <f>FHD_NUM_P_81</f>
        <v/>
      </c>
      <c r="F127" s="150" t="str">
        <f>FHD_P_81</f>
        <v/>
      </c>
      <c r="G127" s="40" t="s">
        <v>600</v>
      </c>
      <c r="H127" s="318"/>
      <c r="I127" s="318"/>
      <c r="J127" s="64" t="str">
        <f>FHD_NOTE_P_81</f>
        <v/>
      </c>
      <c r="K127" s="305"/>
      <c r="AF127" s="10">
        <v>0</v>
      </c>
    </row>
    <row r="128" spans="1:32" ht="18.75" hidden="1" customHeight="1">
      <c r="A128" s="1368"/>
      <c r="C128" s="65" t="s">
        <v>587</v>
      </c>
      <c r="D128" s="53"/>
      <c r="E128" s="308" t="str">
        <f>FHD_NUM_P_82</f>
        <v/>
      </c>
      <c r="F128" s="150" t="str">
        <f>FHD_P_82</f>
        <v/>
      </c>
      <c r="G128" s="40" t="s">
        <v>306</v>
      </c>
      <c r="H128" s="225"/>
      <c r="I128" s="225"/>
      <c r="J128" s="64" t="str">
        <f>FHD_NOTE_P_82</f>
        <v/>
      </c>
      <c r="K128" s="305"/>
      <c r="AF128" s="10">
        <v>0</v>
      </c>
    </row>
    <row r="129" spans="1:32" ht="18.75" hidden="1" customHeight="1">
      <c r="A129" s="1368"/>
      <c r="C129" s="65" t="s">
        <v>587</v>
      </c>
      <c r="D129" s="53"/>
      <c r="E129" s="308" t="str">
        <f>FHD_NUM_P_83</f>
        <v/>
      </c>
      <c r="F129" s="320" t="str">
        <f>FHD_P_83</f>
        <v/>
      </c>
      <c r="G129" s="40" t="s">
        <v>306</v>
      </c>
      <c r="H129" s="225"/>
      <c r="I129" s="225"/>
      <c r="J129" s="64" t="str">
        <f>FHD_NOTE_P_83</f>
        <v/>
      </c>
      <c r="K129" s="305"/>
      <c r="AF129" s="10">
        <v>0</v>
      </c>
    </row>
    <row r="130" spans="1:32" ht="18.75" hidden="1" customHeight="1">
      <c r="A130" s="1368"/>
      <c r="C130" s="65" t="s">
        <v>587</v>
      </c>
      <c r="D130" s="53"/>
      <c r="E130" s="308" t="str">
        <f>FHD_NUM_P_84</f>
        <v/>
      </c>
      <c r="F130" s="320" t="str">
        <f>FHD_P_84</f>
        <v/>
      </c>
      <c r="G130" s="40" t="s">
        <v>306</v>
      </c>
      <c r="H130" s="225"/>
      <c r="I130" s="225"/>
      <c r="J130" s="64" t="str">
        <f>FHD_NOTE_P_84</f>
        <v/>
      </c>
      <c r="K130" s="305"/>
      <c r="AF130" s="10">
        <v>0</v>
      </c>
    </row>
    <row r="131" spans="1:32" ht="11.45" customHeight="1">
      <c r="D131" s="53"/>
      <c r="AF131" s="10">
        <v>11</v>
      </c>
    </row>
    <row r="132" spans="1:32" ht="13.5" customHeight="1">
      <c r="D132" s="53"/>
      <c r="E132" s="195"/>
      <c r="F132" s="3"/>
      <c r="G132" s="3"/>
      <c r="H132" s="3"/>
      <c r="I132" s="370"/>
      <c r="J132" s="339"/>
      <c r="AF132" s="10">
        <v>13</v>
      </c>
    </row>
    <row r="133" spans="1:32" s="200" customFormat="1" ht="11.45" customHeight="1">
      <c r="A133" s="569"/>
      <c r="B133" s="65"/>
      <c r="C133" s="65"/>
      <c r="F133" s="122"/>
      <c r="G133" s="10"/>
      <c r="H133" s="10"/>
      <c r="I133" s="10"/>
      <c r="K133" s="60"/>
      <c r="L133" s="65"/>
      <c r="M133" s="65"/>
      <c r="N133" s="60"/>
      <c r="O133" s="60"/>
      <c r="P133" s="60"/>
      <c r="Q133" s="60"/>
      <c r="R133" s="65"/>
      <c r="S133" s="60"/>
      <c r="T133" s="60"/>
      <c r="U133" s="306"/>
      <c r="V133" s="60"/>
      <c r="W133" s="60"/>
      <c r="X133" s="60"/>
      <c r="Y133" s="60"/>
      <c r="Z133" s="60"/>
      <c r="AA133" s="7"/>
      <c r="AB133" s="139"/>
      <c r="AC133" s="139"/>
      <c r="AD133" s="139"/>
      <c r="AE133" s="139"/>
      <c r="AF133" s="200">
        <v>11</v>
      </c>
    </row>
    <row r="134" spans="1:32" s="200" customFormat="1" ht="11.45" customHeight="1">
      <c r="A134" s="569"/>
      <c r="B134" s="65"/>
      <c r="C134" s="65"/>
      <c r="K134" s="60"/>
      <c r="L134" s="65"/>
      <c r="M134" s="65"/>
      <c r="N134" s="60"/>
      <c r="O134" s="60"/>
      <c r="P134" s="60"/>
      <c r="Q134" s="60"/>
      <c r="R134" s="65"/>
      <c r="S134" s="60"/>
      <c r="T134" s="60"/>
      <c r="U134" s="306"/>
      <c r="V134" s="60"/>
      <c r="W134" s="60"/>
      <c r="X134" s="60"/>
      <c r="Y134" s="60"/>
      <c r="Z134" s="60"/>
      <c r="AA134" s="7"/>
      <c r="AB134" s="139"/>
      <c r="AC134" s="139"/>
      <c r="AD134" s="139"/>
      <c r="AE134" s="139"/>
      <c r="AF134" s="200">
        <v>11</v>
      </c>
    </row>
    <row r="135" spans="1:32" s="200" customFormat="1" ht="11.45" customHeight="1">
      <c r="A135" s="569"/>
      <c r="B135" s="65"/>
      <c r="C135" s="65"/>
      <c r="K135" s="60"/>
      <c r="L135" s="65"/>
      <c r="M135" s="65"/>
      <c r="N135" s="60"/>
      <c r="O135" s="60"/>
      <c r="P135" s="60"/>
      <c r="Q135" s="60"/>
      <c r="R135" s="65"/>
      <c r="S135" s="60"/>
      <c r="T135" s="60"/>
      <c r="U135" s="306"/>
      <c r="V135" s="60"/>
      <c r="W135" s="60"/>
      <c r="X135" s="60"/>
      <c r="Y135" s="60"/>
      <c r="Z135" s="60"/>
      <c r="AA135" s="7"/>
      <c r="AB135" s="139"/>
      <c r="AC135" s="139"/>
      <c r="AD135" s="139"/>
      <c r="AE135" s="139"/>
      <c r="AF135" s="200">
        <v>11</v>
      </c>
    </row>
    <row r="136" spans="1:32" s="200" customFormat="1" ht="11.45" customHeight="1">
      <c r="A136" s="569"/>
      <c r="B136" s="65"/>
      <c r="C136" s="65"/>
      <c r="H136" s="139" t="str">
        <f>IF(H30-H31&lt;&gt;H72,"WARNING","")</f>
        <v/>
      </c>
      <c r="I136" s="139" t="str">
        <f>IF(I30-I31&lt;&gt;I72,"WARNING","")</f>
        <v/>
      </c>
      <c r="K136" s="60"/>
      <c r="L136" s="65"/>
      <c r="M136" s="65"/>
      <c r="N136" s="60"/>
      <c r="O136" s="60"/>
      <c r="P136" s="60"/>
      <c r="Q136" s="60"/>
      <c r="R136" s="65"/>
      <c r="S136" s="60"/>
      <c r="T136" s="60"/>
      <c r="U136" s="306"/>
      <c r="V136" s="60"/>
      <c r="W136" s="60"/>
      <c r="X136" s="60"/>
      <c r="Y136" s="60"/>
      <c r="Z136" s="60"/>
      <c r="AA136" s="7"/>
      <c r="AB136" s="139"/>
      <c r="AC136" s="139"/>
      <c r="AD136" s="139"/>
      <c r="AE136" s="139"/>
      <c r="AF136" s="200">
        <v>11</v>
      </c>
    </row>
    <row r="137" spans="1:32" s="200" customFormat="1" ht="11.45" customHeight="1">
      <c r="A137" s="569"/>
      <c r="B137" s="65"/>
      <c r="C137" s="65"/>
      <c r="K137" s="60"/>
      <c r="L137" s="65"/>
      <c r="M137" s="65"/>
      <c r="N137" s="60"/>
      <c r="O137" s="60"/>
      <c r="P137" s="60"/>
      <c r="Q137" s="60"/>
      <c r="R137" s="65"/>
      <c r="S137" s="60"/>
      <c r="T137" s="60"/>
      <c r="U137" s="306"/>
      <c r="V137" s="60"/>
      <c r="W137" s="60"/>
      <c r="X137" s="60"/>
      <c r="Y137" s="60"/>
      <c r="Z137" s="60"/>
      <c r="AA137" s="7"/>
      <c r="AB137" s="139"/>
      <c r="AC137" s="139"/>
      <c r="AD137" s="139"/>
      <c r="AE137" s="139"/>
      <c r="AF137" s="200">
        <v>11</v>
      </c>
    </row>
    <row r="138" spans="1:32" s="200" customFormat="1" ht="11.45" customHeight="1">
      <c r="A138" s="569"/>
      <c r="B138" s="65"/>
      <c r="C138" s="65"/>
      <c r="K138" s="60"/>
      <c r="L138" s="65"/>
      <c r="M138" s="65"/>
      <c r="N138" s="60"/>
      <c r="O138" s="60"/>
      <c r="P138" s="60"/>
      <c r="Q138" s="60"/>
      <c r="R138" s="65"/>
      <c r="S138" s="60"/>
      <c r="T138" s="60"/>
      <c r="U138" s="306"/>
      <c r="V138" s="60"/>
      <c r="W138" s="60"/>
      <c r="X138" s="60"/>
      <c r="Y138" s="60"/>
      <c r="Z138" s="60"/>
      <c r="AA138" s="7"/>
      <c r="AB138" s="139"/>
      <c r="AC138" s="139"/>
      <c r="AD138" s="139"/>
      <c r="AE138" s="139"/>
      <c r="AF138" s="200">
        <v>11</v>
      </c>
    </row>
    <row r="139" spans="1:32" s="200" customFormat="1" ht="11.45" customHeight="1">
      <c r="A139" s="569"/>
      <c r="B139" s="65"/>
      <c r="C139" s="65"/>
      <c r="K139" s="60"/>
      <c r="L139" s="65"/>
      <c r="M139" s="65"/>
      <c r="N139" s="60"/>
      <c r="O139" s="60"/>
      <c r="P139" s="60"/>
      <c r="Q139" s="60"/>
      <c r="R139" s="65"/>
      <c r="S139" s="60"/>
      <c r="T139" s="60"/>
      <c r="U139" s="306"/>
      <c r="V139" s="60"/>
      <c r="W139" s="60"/>
      <c r="X139" s="60"/>
      <c r="Y139" s="60"/>
      <c r="Z139" s="60"/>
      <c r="AA139" s="7"/>
      <c r="AB139" s="139"/>
      <c r="AC139" s="139"/>
      <c r="AD139" s="139"/>
      <c r="AE139" s="139"/>
      <c r="AF139" s="200">
        <v>11</v>
      </c>
    </row>
    <row r="140" spans="1:32" s="200" customFormat="1" ht="11.45" customHeight="1">
      <c r="A140" s="569"/>
      <c r="B140" s="65"/>
      <c r="C140" s="65"/>
      <c r="K140" s="60"/>
      <c r="L140" s="65"/>
      <c r="M140" s="65"/>
      <c r="N140" s="60"/>
      <c r="O140" s="60"/>
      <c r="P140" s="60"/>
      <c r="Q140" s="60"/>
      <c r="R140" s="65"/>
      <c r="S140" s="60"/>
      <c r="T140" s="60"/>
      <c r="U140" s="306"/>
      <c r="V140" s="60"/>
      <c r="W140" s="60"/>
      <c r="X140" s="60"/>
      <c r="Y140" s="60"/>
      <c r="Z140" s="60"/>
      <c r="AA140" s="7"/>
      <c r="AB140" s="139"/>
      <c r="AC140" s="139"/>
      <c r="AD140" s="139"/>
      <c r="AE140" s="139"/>
      <c r="AF140" s="200">
        <v>11</v>
      </c>
    </row>
    <row r="141" spans="1:32" s="200" customFormat="1" ht="11.45" customHeight="1">
      <c r="A141" s="569"/>
      <c r="B141" s="65"/>
      <c r="C141" s="65"/>
      <c r="K141" s="60"/>
      <c r="L141" s="65"/>
      <c r="M141" s="65"/>
      <c r="N141" s="60"/>
      <c r="O141" s="60"/>
      <c r="P141" s="60"/>
      <c r="Q141" s="60"/>
      <c r="R141" s="65"/>
      <c r="S141" s="60"/>
      <c r="T141" s="60"/>
      <c r="U141" s="306"/>
      <c r="V141" s="60"/>
      <c r="W141" s="60"/>
      <c r="X141" s="60"/>
      <c r="Y141" s="60"/>
      <c r="Z141" s="60"/>
      <c r="AA141" s="7"/>
      <c r="AB141" s="139"/>
      <c r="AC141" s="139"/>
      <c r="AD141" s="139"/>
      <c r="AE141" s="139"/>
      <c r="AF141" s="200">
        <v>11</v>
      </c>
    </row>
    <row r="142" spans="1:32" s="200" customFormat="1" ht="11.45" customHeight="1">
      <c r="A142" s="569"/>
      <c r="B142" s="65"/>
      <c r="C142" s="65"/>
      <c r="K142" s="60"/>
      <c r="L142" s="65"/>
      <c r="M142" s="65"/>
      <c r="N142" s="60"/>
      <c r="O142" s="60"/>
      <c r="P142" s="60"/>
      <c r="Q142" s="60"/>
      <c r="R142" s="65"/>
      <c r="S142" s="60"/>
      <c r="T142" s="60"/>
      <c r="U142" s="306"/>
      <c r="V142" s="60"/>
      <c r="W142" s="60"/>
      <c r="X142" s="60"/>
      <c r="Y142" s="60"/>
      <c r="Z142" s="60"/>
      <c r="AA142" s="7"/>
      <c r="AB142" s="139"/>
      <c r="AC142" s="139"/>
      <c r="AD142" s="139"/>
      <c r="AE142" s="139"/>
      <c r="AF142" s="200">
        <v>11</v>
      </c>
    </row>
    <row r="143" spans="1:32" s="200" customFormat="1" ht="11.45" customHeight="1">
      <c r="A143" s="569"/>
      <c r="B143" s="65"/>
      <c r="C143" s="65"/>
      <c r="K143" s="60"/>
      <c r="L143" s="65"/>
      <c r="M143" s="65"/>
      <c r="N143" s="60"/>
      <c r="O143" s="60"/>
      <c r="P143" s="60"/>
      <c r="Q143" s="60"/>
      <c r="R143" s="65"/>
      <c r="S143" s="60"/>
      <c r="T143" s="60"/>
      <c r="U143" s="306"/>
      <c r="V143" s="60"/>
      <c r="W143" s="60"/>
      <c r="X143" s="60"/>
      <c r="Y143" s="60"/>
      <c r="Z143" s="60"/>
      <c r="AA143" s="7"/>
      <c r="AB143" s="139"/>
      <c r="AC143" s="139"/>
      <c r="AD143" s="139"/>
      <c r="AE143" s="139"/>
      <c r="AF143" s="200">
        <v>11</v>
      </c>
    </row>
    <row r="144" spans="1:32" s="200" customFormat="1" ht="11.45" customHeight="1">
      <c r="A144" s="569"/>
      <c r="B144" s="65"/>
      <c r="C144" s="65"/>
      <c r="K144" s="60"/>
      <c r="L144" s="65"/>
      <c r="M144" s="65"/>
      <c r="N144" s="60"/>
      <c r="O144" s="60"/>
      <c r="P144" s="60"/>
      <c r="Q144" s="60"/>
      <c r="R144" s="65"/>
      <c r="S144" s="60"/>
      <c r="T144" s="60"/>
      <c r="U144" s="306"/>
      <c r="V144" s="60"/>
      <c r="W144" s="60"/>
      <c r="X144" s="60"/>
      <c r="Y144" s="60"/>
      <c r="Z144" s="60"/>
      <c r="AA144" s="7"/>
      <c r="AB144" s="139"/>
      <c r="AC144" s="139"/>
      <c r="AD144" s="139"/>
      <c r="AE144" s="139"/>
      <c r="AF144" s="200">
        <v>11</v>
      </c>
    </row>
    <row r="145" spans="1:32" s="200" customFormat="1" ht="11.45" customHeight="1">
      <c r="A145" s="569"/>
      <c r="B145" s="65"/>
      <c r="C145" s="65"/>
      <c r="K145" s="60"/>
      <c r="L145" s="65"/>
      <c r="M145" s="65"/>
      <c r="N145" s="60"/>
      <c r="O145" s="60"/>
      <c r="P145" s="60"/>
      <c r="Q145" s="60"/>
      <c r="R145" s="65"/>
      <c r="S145" s="60"/>
      <c r="T145" s="60"/>
      <c r="U145" s="306"/>
      <c r="V145" s="60"/>
      <c r="W145" s="60"/>
      <c r="X145" s="60"/>
      <c r="Y145" s="60"/>
      <c r="Z145" s="60"/>
      <c r="AA145" s="7"/>
      <c r="AB145" s="139"/>
      <c r="AC145" s="139"/>
      <c r="AD145" s="139"/>
      <c r="AE145" s="139"/>
      <c r="AF145" s="200">
        <v>11</v>
      </c>
    </row>
    <row r="146" spans="1:32" s="200" customFormat="1" ht="11.45" customHeight="1">
      <c r="A146" s="569"/>
      <c r="B146" s="65"/>
      <c r="C146" s="65"/>
      <c r="K146" s="60"/>
      <c r="L146" s="65"/>
      <c r="M146" s="65"/>
      <c r="N146" s="60"/>
      <c r="O146" s="60"/>
      <c r="P146" s="60"/>
      <c r="Q146" s="60"/>
      <c r="R146" s="65"/>
      <c r="S146" s="60"/>
      <c r="T146" s="60"/>
      <c r="U146" s="306"/>
      <c r="V146" s="60"/>
      <c r="W146" s="60"/>
      <c r="X146" s="60"/>
      <c r="Y146" s="60"/>
      <c r="Z146" s="60"/>
      <c r="AA146" s="7"/>
      <c r="AB146" s="139"/>
      <c r="AC146" s="139"/>
      <c r="AD146" s="139"/>
      <c r="AE146" s="139"/>
      <c r="AF146" s="200">
        <v>11</v>
      </c>
    </row>
    <row r="147" spans="1:32" s="200" customFormat="1" ht="11.45" customHeight="1">
      <c r="A147" s="569"/>
      <c r="B147" s="65"/>
      <c r="C147" s="65"/>
      <c r="K147" s="60"/>
      <c r="L147" s="65"/>
      <c r="M147" s="65"/>
      <c r="N147" s="60"/>
      <c r="O147" s="60"/>
      <c r="P147" s="60"/>
      <c r="Q147" s="60"/>
      <c r="R147" s="65"/>
      <c r="S147" s="60"/>
      <c r="T147" s="60"/>
      <c r="U147" s="306"/>
      <c r="V147" s="60"/>
      <c r="W147" s="60"/>
      <c r="X147" s="60"/>
      <c r="Y147" s="60"/>
      <c r="Z147" s="60"/>
      <c r="AA147" s="7"/>
      <c r="AB147" s="139"/>
      <c r="AC147" s="139"/>
      <c r="AD147" s="139"/>
      <c r="AE147" s="139"/>
      <c r="AF147" s="200">
        <v>11</v>
      </c>
    </row>
    <row r="148" spans="1:32" s="200" customFormat="1" ht="11.45" customHeight="1">
      <c r="A148" s="569"/>
      <c r="B148" s="65"/>
      <c r="C148" s="65"/>
      <c r="K148" s="60"/>
      <c r="L148" s="65"/>
      <c r="M148" s="65"/>
      <c r="N148" s="60"/>
      <c r="O148" s="60"/>
      <c r="P148" s="60"/>
      <c r="Q148" s="60"/>
      <c r="R148" s="65"/>
      <c r="S148" s="60"/>
      <c r="T148" s="60"/>
      <c r="U148" s="306"/>
      <c r="V148" s="60"/>
      <c r="W148" s="60"/>
      <c r="X148" s="60"/>
      <c r="Y148" s="60"/>
      <c r="Z148" s="60"/>
      <c r="AA148" s="7"/>
      <c r="AB148" s="139"/>
      <c r="AC148" s="139"/>
      <c r="AD148" s="139"/>
      <c r="AE148" s="139"/>
      <c r="AF148" s="200">
        <v>11</v>
      </c>
    </row>
    <row r="149" spans="1:32" s="200" customFormat="1" ht="11.45" customHeight="1">
      <c r="A149" s="569"/>
      <c r="B149" s="65"/>
      <c r="C149" s="65"/>
      <c r="K149" s="60"/>
      <c r="L149" s="65"/>
      <c r="M149" s="65"/>
      <c r="N149" s="60"/>
      <c r="O149" s="60"/>
      <c r="P149" s="60"/>
      <c r="Q149" s="60"/>
      <c r="R149" s="65"/>
      <c r="S149" s="60"/>
      <c r="T149" s="60"/>
      <c r="U149" s="306"/>
      <c r="V149" s="60"/>
      <c r="W149" s="60"/>
      <c r="X149" s="60"/>
      <c r="Y149" s="60"/>
      <c r="Z149" s="60"/>
      <c r="AA149" s="7"/>
      <c r="AB149" s="139"/>
      <c r="AC149" s="139"/>
      <c r="AD149" s="139"/>
      <c r="AE149" s="139"/>
      <c r="AF149" s="200">
        <v>11</v>
      </c>
    </row>
    <row r="150" spans="1:32" s="200" customFormat="1" ht="11.45" customHeight="1">
      <c r="A150" s="569"/>
      <c r="B150" s="65"/>
      <c r="C150" s="65"/>
      <c r="K150" s="60"/>
      <c r="L150" s="65"/>
      <c r="M150" s="65"/>
      <c r="N150" s="60"/>
      <c r="O150" s="60"/>
      <c r="P150" s="60"/>
      <c r="Q150" s="60"/>
      <c r="R150" s="65"/>
      <c r="S150" s="60"/>
      <c r="T150" s="60"/>
      <c r="U150" s="306"/>
      <c r="V150" s="60"/>
      <c r="W150" s="60"/>
      <c r="X150" s="60"/>
      <c r="Y150" s="60"/>
      <c r="Z150" s="60"/>
      <c r="AA150" s="7"/>
      <c r="AB150" s="139"/>
      <c r="AC150" s="139"/>
      <c r="AD150" s="139"/>
      <c r="AE150" s="139"/>
      <c r="AF150" s="200">
        <v>11</v>
      </c>
    </row>
    <row r="151" spans="1:32" s="200" customFormat="1" ht="11.45" customHeight="1">
      <c r="A151" s="569"/>
      <c r="B151" s="65"/>
      <c r="C151" s="65"/>
      <c r="K151" s="60"/>
      <c r="L151" s="65"/>
      <c r="M151" s="65"/>
      <c r="N151" s="60"/>
      <c r="O151" s="60"/>
      <c r="P151" s="60"/>
      <c r="Q151" s="60"/>
      <c r="R151" s="65"/>
      <c r="S151" s="60"/>
      <c r="T151" s="60"/>
      <c r="U151" s="306"/>
      <c r="V151" s="60"/>
      <c r="W151" s="60"/>
      <c r="X151" s="60"/>
      <c r="Y151" s="60"/>
      <c r="Z151" s="60"/>
      <c r="AA151" s="7"/>
      <c r="AB151" s="139"/>
      <c r="AC151" s="139"/>
      <c r="AD151" s="139"/>
      <c r="AE151" s="139"/>
      <c r="AF151" s="200">
        <v>11</v>
      </c>
    </row>
    <row r="152" spans="1:32" s="200" customFormat="1" ht="11.45" customHeight="1">
      <c r="A152" s="569"/>
      <c r="B152" s="65"/>
      <c r="C152" s="65"/>
      <c r="K152" s="60"/>
      <c r="L152" s="65"/>
      <c r="M152" s="65"/>
      <c r="N152" s="60"/>
      <c r="O152" s="60"/>
      <c r="P152" s="60"/>
      <c r="Q152" s="60"/>
      <c r="R152" s="65"/>
      <c r="S152" s="60"/>
      <c r="T152" s="60"/>
      <c r="U152" s="306"/>
      <c r="V152" s="60"/>
      <c r="W152" s="60"/>
      <c r="X152" s="60"/>
      <c r="Y152" s="60"/>
      <c r="Z152" s="60"/>
      <c r="AA152" s="7"/>
      <c r="AB152" s="139"/>
      <c r="AC152" s="139"/>
      <c r="AD152" s="139"/>
      <c r="AE152" s="139"/>
      <c r="AF152" s="200">
        <v>11</v>
      </c>
    </row>
    <row r="153" spans="1:32" s="200" customFormat="1" ht="11.45" customHeight="1">
      <c r="A153" s="569"/>
      <c r="B153" s="65"/>
      <c r="C153" s="65"/>
      <c r="K153" s="60"/>
      <c r="L153" s="65"/>
      <c r="M153" s="65"/>
      <c r="N153" s="60"/>
      <c r="O153" s="60"/>
      <c r="P153" s="60"/>
      <c r="Q153" s="60"/>
      <c r="R153" s="65"/>
      <c r="S153" s="60"/>
      <c r="T153" s="60"/>
      <c r="U153" s="306"/>
      <c r="V153" s="60"/>
      <c r="W153" s="60"/>
      <c r="X153" s="60"/>
      <c r="Y153" s="60"/>
      <c r="Z153" s="60"/>
      <c r="AA153" s="7"/>
      <c r="AB153" s="139"/>
      <c r="AC153" s="139"/>
      <c r="AD153" s="139"/>
      <c r="AE153" s="139"/>
      <c r="AF153" s="200">
        <v>11</v>
      </c>
    </row>
    <row r="154" spans="1:32" s="200" customFormat="1" ht="11.45" customHeight="1">
      <c r="A154" s="569"/>
      <c r="B154" s="65"/>
      <c r="C154" s="65"/>
      <c r="K154" s="60"/>
      <c r="L154" s="65"/>
      <c r="M154" s="65"/>
      <c r="N154" s="60"/>
      <c r="O154" s="60"/>
      <c r="P154" s="60"/>
      <c r="Q154" s="60"/>
      <c r="R154" s="65"/>
      <c r="S154" s="60"/>
      <c r="T154" s="60"/>
      <c r="U154" s="306"/>
      <c r="V154" s="60"/>
      <c r="W154" s="60"/>
      <c r="X154" s="60"/>
      <c r="Y154" s="60"/>
      <c r="Z154" s="60"/>
      <c r="AA154" s="7"/>
      <c r="AB154" s="139"/>
      <c r="AC154" s="139"/>
      <c r="AD154" s="139"/>
      <c r="AE154" s="139"/>
      <c r="AF154" s="200">
        <v>11</v>
      </c>
    </row>
    <row r="155" spans="1:32" s="200" customFormat="1" ht="11.45" customHeight="1">
      <c r="A155" s="569"/>
      <c r="B155" s="65"/>
      <c r="C155" s="65"/>
      <c r="K155" s="60"/>
      <c r="L155" s="65"/>
      <c r="M155" s="65"/>
      <c r="N155" s="60"/>
      <c r="O155" s="60"/>
      <c r="P155" s="60"/>
      <c r="Q155" s="60"/>
      <c r="R155" s="65"/>
      <c r="S155" s="60"/>
      <c r="T155" s="60"/>
      <c r="U155" s="306"/>
      <c r="V155" s="60"/>
      <c r="W155" s="60"/>
      <c r="X155" s="60"/>
      <c r="Y155" s="60"/>
      <c r="Z155" s="60"/>
      <c r="AA155" s="7"/>
      <c r="AB155" s="139"/>
      <c r="AC155" s="139"/>
      <c r="AD155" s="139"/>
      <c r="AE155" s="139"/>
      <c r="AF155" s="200">
        <v>11</v>
      </c>
    </row>
    <row r="156" spans="1:32" s="200" customFormat="1" ht="11.45" customHeight="1">
      <c r="A156" s="569"/>
      <c r="B156" s="65"/>
      <c r="C156" s="65"/>
      <c r="K156" s="60"/>
      <c r="L156" s="65"/>
      <c r="M156" s="65"/>
      <c r="N156" s="60"/>
      <c r="O156" s="60"/>
      <c r="P156" s="60"/>
      <c r="Q156" s="60"/>
      <c r="R156" s="65"/>
      <c r="S156" s="60"/>
      <c r="T156" s="60"/>
      <c r="U156" s="306"/>
      <c r="V156" s="60"/>
      <c r="W156" s="60"/>
      <c r="X156" s="60"/>
      <c r="Y156" s="60"/>
      <c r="Z156" s="60"/>
      <c r="AA156" s="7"/>
      <c r="AB156" s="139"/>
      <c r="AC156" s="139"/>
      <c r="AD156" s="139"/>
      <c r="AE156" s="139"/>
      <c r="AF156" s="200">
        <v>11</v>
      </c>
    </row>
    <row r="157" spans="1:32" s="200" customFormat="1" ht="11.45" customHeight="1">
      <c r="A157" s="569"/>
      <c r="B157" s="65"/>
      <c r="C157" s="65"/>
      <c r="K157" s="60"/>
      <c r="L157" s="65"/>
      <c r="M157" s="65"/>
      <c r="N157" s="60"/>
      <c r="O157" s="60"/>
      <c r="P157" s="60"/>
      <c r="Q157" s="60"/>
      <c r="R157" s="65"/>
      <c r="S157" s="60"/>
      <c r="T157" s="60"/>
      <c r="U157" s="306"/>
      <c r="V157" s="60"/>
      <c r="W157" s="60"/>
      <c r="X157" s="60"/>
      <c r="Y157" s="60"/>
      <c r="Z157" s="60"/>
      <c r="AA157" s="7"/>
      <c r="AB157" s="139"/>
      <c r="AC157" s="139"/>
      <c r="AD157" s="139"/>
      <c r="AE157" s="139"/>
      <c r="AF157" s="200">
        <v>11</v>
      </c>
    </row>
    <row r="158" spans="1:32" s="200" customFormat="1" ht="11.45" customHeight="1">
      <c r="A158" s="569"/>
      <c r="B158" s="65"/>
      <c r="C158" s="65"/>
      <c r="K158" s="60"/>
      <c r="L158" s="65"/>
      <c r="M158" s="65"/>
      <c r="N158" s="60"/>
      <c r="O158" s="60"/>
      <c r="P158" s="60"/>
      <c r="Q158" s="60"/>
      <c r="R158" s="65"/>
      <c r="S158" s="60"/>
      <c r="T158" s="60"/>
      <c r="U158" s="306"/>
      <c r="V158" s="60"/>
      <c r="W158" s="60"/>
      <c r="X158" s="60"/>
      <c r="Y158" s="60"/>
      <c r="Z158" s="60"/>
      <c r="AA158" s="7"/>
      <c r="AB158" s="139"/>
      <c r="AC158" s="139"/>
      <c r="AD158" s="139"/>
      <c r="AE158" s="139"/>
      <c r="AF158" s="200">
        <v>11</v>
      </c>
    </row>
    <row r="159" spans="1:32" s="200" customFormat="1" ht="11.45" customHeight="1">
      <c r="A159" s="569"/>
      <c r="B159" s="65"/>
      <c r="C159" s="65"/>
      <c r="K159" s="60"/>
      <c r="L159" s="65"/>
      <c r="M159" s="65"/>
      <c r="N159" s="60"/>
      <c r="O159" s="60"/>
      <c r="P159" s="60"/>
      <c r="Q159" s="60"/>
      <c r="R159" s="65"/>
      <c r="S159" s="60"/>
      <c r="T159" s="60"/>
      <c r="U159" s="306"/>
      <c r="V159" s="60"/>
      <c r="W159" s="60"/>
      <c r="X159" s="60"/>
      <c r="Y159" s="60"/>
      <c r="Z159" s="60"/>
      <c r="AA159" s="7"/>
      <c r="AB159" s="139"/>
      <c r="AC159" s="139"/>
      <c r="AD159" s="139"/>
      <c r="AE159" s="139"/>
      <c r="AF159" s="200">
        <v>11</v>
      </c>
    </row>
    <row r="160" spans="1:32" s="200" customFormat="1" ht="11.45" customHeight="1">
      <c r="A160" s="569"/>
      <c r="B160" s="65"/>
      <c r="C160" s="65"/>
      <c r="K160" s="60"/>
      <c r="L160" s="65"/>
      <c r="M160" s="65"/>
      <c r="N160" s="60"/>
      <c r="O160" s="60"/>
      <c r="P160" s="60"/>
      <c r="Q160" s="60"/>
      <c r="R160" s="65"/>
      <c r="S160" s="60"/>
      <c r="T160" s="60"/>
      <c r="U160" s="306"/>
      <c r="V160" s="60"/>
      <c r="W160" s="60"/>
      <c r="X160" s="60"/>
      <c r="Y160" s="60"/>
      <c r="Z160" s="60"/>
      <c r="AA160" s="7"/>
      <c r="AB160" s="139"/>
      <c r="AC160" s="139"/>
      <c r="AD160" s="139"/>
      <c r="AE160" s="139"/>
      <c r="AF160" s="200">
        <v>11</v>
      </c>
    </row>
    <row r="161" spans="1:32" s="200" customFormat="1" ht="11.45" customHeight="1">
      <c r="A161" s="569"/>
      <c r="B161" s="65"/>
      <c r="C161" s="65"/>
      <c r="K161" s="60"/>
      <c r="L161" s="65"/>
      <c r="M161" s="65"/>
      <c r="N161" s="60"/>
      <c r="O161" s="60"/>
      <c r="P161" s="60"/>
      <c r="Q161" s="60"/>
      <c r="R161" s="65"/>
      <c r="S161" s="60"/>
      <c r="T161" s="60"/>
      <c r="U161" s="306"/>
      <c r="V161" s="60"/>
      <c r="W161" s="60"/>
      <c r="X161" s="60"/>
      <c r="Y161" s="60"/>
      <c r="Z161" s="60"/>
      <c r="AA161" s="7"/>
      <c r="AB161" s="139"/>
      <c r="AC161" s="139"/>
      <c r="AD161" s="139"/>
      <c r="AE161" s="139"/>
      <c r="AF161" s="200">
        <v>11</v>
      </c>
    </row>
    <row r="162" spans="1:32" s="200" customFormat="1" ht="11.45" customHeight="1">
      <c r="A162" s="569"/>
      <c r="B162" s="65"/>
      <c r="C162" s="65"/>
      <c r="K162" s="60"/>
      <c r="L162" s="65"/>
      <c r="M162" s="65"/>
      <c r="N162" s="60"/>
      <c r="O162" s="60"/>
      <c r="P162" s="60"/>
      <c r="Q162" s="60"/>
      <c r="R162" s="65"/>
      <c r="S162" s="60"/>
      <c r="T162" s="60"/>
      <c r="U162" s="306"/>
      <c r="V162" s="60"/>
      <c r="W162" s="60"/>
      <c r="X162" s="60"/>
      <c r="Y162" s="60"/>
      <c r="Z162" s="60"/>
      <c r="AA162" s="7"/>
      <c r="AB162" s="139"/>
      <c r="AC162" s="139"/>
      <c r="AD162" s="139"/>
      <c r="AE162" s="139"/>
      <c r="AF162" s="200">
        <v>11</v>
      </c>
    </row>
    <row r="163" spans="1:32" s="200" customFormat="1" ht="11.45" customHeight="1">
      <c r="A163" s="569"/>
      <c r="B163" s="65"/>
      <c r="C163" s="65"/>
      <c r="K163" s="60"/>
      <c r="L163" s="65"/>
      <c r="M163" s="65"/>
      <c r="N163" s="60"/>
      <c r="O163" s="60"/>
      <c r="P163" s="60"/>
      <c r="Q163" s="60"/>
      <c r="R163" s="65"/>
      <c r="S163" s="60"/>
      <c r="T163" s="60"/>
      <c r="U163" s="306"/>
      <c r="V163" s="60"/>
      <c r="W163" s="60"/>
      <c r="X163" s="60"/>
      <c r="Y163" s="60"/>
      <c r="Z163" s="60"/>
      <c r="AA163" s="7"/>
      <c r="AB163" s="139"/>
      <c r="AC163" s="139"/>
      <c r="AD163" s="139"/>
      <c r="AE163" s="139"/>
      <c r="AF163" s="200">
        <v>11</v>
      </c>
    </row>
    <row r="164" spans="1:32" s="200" customFormat="1" ht="11.45" customHeight="1">
      <c r="A164" s="569"/>
      <c r="B164" s="65"/>
      <c r="C164" s="65"/>
      <c r="K164" s="60"/>
      <c r="L164" s="65"/>
      <c r="M164" s="65"/>
      <c r="N164" s="60"/>
      <c r="O164" s="60"/>
      <c r="P164" s="60"/>
      <c r="Q164" s="60"/>
      <c r="R164" s="65"/>
      <c r="S164" s="60"/>
      <c r="T164" s="60"/>
      <c r="U164" s="306"/>
      <c r="V164" s="60"/>
      <c r="W164" s="60"/>
      <c r="X164" s="60"/>
      <c r="Y164" s="60"/>
      <c r="Z164" s="60"/>
      <c r="AA164" s="7"/>
      <c r="AB164" s="139"/>
      <c r="AC164" s="139"/>
      <c r="AD164" s="139"/>
      <c r="AE164" s="139"/>
      <c r="AF164" s="200">
        <v>11</v>
      </c>
    </row>
    <row r="165" spans="1:32" s="200" customFormat="1" ht="11.45" customHeight="1">
      <c r="A165" s="569"/>
      <c r="B165" s="65"/>
      <c r="C165" s="65"/>
      <c r="K165" s="60"/>
      <c r="L165" s="65"/>
      <c r="M165" s="65"/>
      <c r="N165" s="60"/>
      <c r="O165" s="60"/>
      <c r="P165" s="60"/>
      <c r="Q165" s="60"/>
      <c r="R165" s="65"/>
      <c r="S165" s="60"/>
      <c r="T165" s="60"/>
      <c r="U165" s="306"/>
      <c r="V165" s="60"/>
      <c r="W165" s="60"/>
      <c r="X165" s="60"/>
      <c r="Y165" s="60"/>
      <c r="Z165" s="60"/>
      <c r="AA165" s="7"/>
      <c r="AB165" s="139"/>
      <c r="AC165" s="139"/>
      <c r="AD165" s="139"/>
      <c r="AE165" s="139"/>
      <c r="AF165" s="200">
        <v>11</v>
      </c>
    </row>
    <row r="166" spans="1:32" s="200" customFormat="1" ht="11.45" customHeight="1">
      <c r="A166" s="569"/>
      <c r="B166" s="65"/>
      <c r="C166" s="65"/>
      <c r="K166" s="60"/>
      <c r="L166" s="65"/>
      <c r="M166" s="65"/>
      <c r="N166" s="60"/>
      <c r="O166" s="60"/>
      <c r="P166" s="60"/>
      <c r="Q166" s="60"/>
      <c r="R166" s="65"/>
      <c r="S166" s="60"/>
      <c r="T166" s="60"/>
      <c r="U166" s="306"/>
      <c r="V166" s="60"/>
      <c r="W166" s="60"/>
      <c r="X166" s="60"/>
      <c r="Y166" s="60"/>
      <c r="Z166" s="60"/>
      <c r="AA166" s="7"/>
      <c r="AB166" s="139"/>
      <c r="AC166" s="139"/>
      <c r="AD166" s="139"/>
      <c r="AE166" s="139"/>
      <c r="AF166" s="200">
        <v>11</v>
      </c>
    </row>
    <row r="167" spans="1:32" s="200" customFormat="1" ht="11.45" customHeight="1">
      <c r="A167" s="569"/>
      <c r="B167" s="65"/>
      <c r="C167" s="65"/>
      <c r="K167" s="60"/>
      <c r="L167" s="65"/>
      <c r="M167" s="65"/>
      <c r="N167" s="60"/>
      <c r="O167" s="60"/>
      <c r="P167" s="60"/>
      <c r="Q167" s="60"/>
      <c r="R167" s="65"/>
      <c r="S167" s="60"/>
      <c r="T167" s="60"/>
      <c r="U167" s="306"/>
      <c r="V167" s="60"/>
      <c r="W167" s="60"/>
      <c r="X167" s="60"/>
      <c r="Y167" s="60"/>
      <c r="Z167" s="60"/>
      <c r="AA167" s="7"/>
      <c r="AB167" s="139"/>
      <c r="AC167" s="139"/>
      <c r="AD167" s="139"/>
      <c r="AE167" s="139"/>
      <c r="AF167" s="200">
        <v>11</v>
      </c>
    </row>
    <row r="168" spans="1:32" s="200" customFormat="1" ht="11.45" customHeight="1">
      <c r="A168" s="569"/>
      <c r="B168" s="65"/>
      <c r="C168" s="65"/>
      <c r="K168" s="60"/>
      <c r="L168" s="65"/>
      <c r="M168" s="65"/>
      <c r="N168" s="60"/>
      <c r="O168" s="60"/>
      <c r="P168" s="60"/>
      <c r="Q168" s="60"/>
      <c r="R168" s="65"/>
      <c r="S168" s="60"/>
      <c r="T168" s="60"/>
      <c r="U168" s="306"/>
      <c r="V168" s="60"/>
      <c r="W168" s="60"/>
      <c r="X168" s="60"/>
      <c r="Y168" s="60"/>
      <c r="Z168" s="60"/>
      <c r="AA168" s="7"/>
      <c r="AB168" s="139"/>
      <c r="AC168" s="139"/>
      <c r="AD168" s="139"/>
      <c r="AE168" s="139"/>
      <c r="AF168" s="200">
        <v>11</v>
      </c>
    </row>
    <row r="169" spans="1:32" s="200" customFormat="1" ht="11.45" customHeight="1">
      <c r="A169" s="569"/>
      <c r="B169" s="65"/>
      <c r="C169" s="65"/>
      <c r="K169" s="60"/>
      <c r="L169" s="65"/>
      <c r="M169" s="65"/>
      <c r="N169" s="60"/>
      <c r="O169" s="60"/>
      <c r="P169" s="60"/>
      <c r="Q169" s="60"/>
      <c r="R169" s="65"/>
      <c r="S169" s="60"/>
      <c r="T169" s="60"/>
      <c r="U169" s="306"/>
      <c r="V169" s="60"/>
      <c r="W169" s="60"/>
      <c r="X169" s="60"/>
      <c r="Y169" s="60"/>
      <c r="Z169" s="60"/>
      <c r="AA169" s="7"/>
      <c r="AB169" s="139"/>
      <c r="AC169" s="139"/>
      <c r="AD169" s="139"/>
      <c r="AE169" s="139"/>
      <c r="AF169" s="200">
        <v>11</v>
      </c>
    </row>
    <row r="170" spans="1:32" s="200" customFormat="1" ht="11.45" customHeight="1">
      <c r="A170" s="569"/>
      <c r="B170" s="65"/>
      <c r="C170" s="65"/>
      <c r="K170" s="60"/>
      <c r="L170" s="65"/>
      <c r="M170" s="65"/>
      <c r="N170" s="60"/>
      <c r="O170" s="60"/>
      <c r="P170" s="60"/>
      <c r="Q170" s="60"/>
      <c r="R170" s="65"/>
      <c r="S170" s="60"/>
      <c r="T170" s="60"/>
      <c r="U170" s="306"/>
      <c r="V170" s="60"/>
      <c r="W170" s="60"/>
      <c r="X170" s="60"/>
      <c r="Y170" s="60"/>
      <c r="Z170" s="60"/>
      <c r="AA170" s="7"/>
      <c r="AB170" s="139"/>
      <c r="AC170" s="139"/>
      <c r="AD170" s="139"/>
      <c r="AE170" s="139"/>
      <c r="AF170" s="200">
        <v>11</v>
      </c>
    </row>
    <row r="171" spans="1:32" s="200" customFormat="1" ht="11.45" customHeight="1">
      <c r="A171" s="569"/>
      <c r="B171" s="65"/>
      <c r="C171" s="65"/>
      <c r="K171" s="60"/>
      <c r="L171" s="65"/>
      <c r="M171" s="65"/>
      <c r="N171" s="60"/>
      <c r="O171" s="60"/>
      <c r="P171" s="60"/>
      <c r="Q171" s="60"/>
      <c r="R171" s="65"/>
      <c r="S171" s="60"/>
      <c r="T171" s="60"/>
      <c r="U171" s="306"/>
      <c r="V171" s="60"/>
      <c r="W171" s="60"/>
      <c r="X171" s="60"/>
      <c r="Y171" s="60"/>
      <c r="Z171" s="60"/>
      <c r="AA171" s="7"/>
      <c r="AB171" s="139"/>
      <c r="AC171" s="139"/>
      <c r="AD171" s="139"/>
      <c r="AE171" s="139"/>
      <c r="AF171" s="200">
        <v>11</v>
      </c>
    </row>
    <row r="172" spans="1:32" s="200" customFormat="1" ht="11.45" customHeight="1">
      <c r="A172" s="569"/>
      <c r="B172" s="65"/>
      <c r="C172" s="65"/>
      <c r="K172" s="60"/>
      <c r="L172" s="65"/>
      <c r="M172" s="65"/>
      <c r="N172" s="60"/>
      <c r="O172" s="60"/>
      <c r="P172" s="60"/>
      <c r="Q172" s="60"/>
      <c r="R172" s="65"/>
      <c r="S172" s="60"/>
      <c r="T172" s="60"/>
      <c r="U172" s="306"/>
      <c r="V172" s="60"/>
      <c r="W172" s="60"/>
      <c r="X172" s="60"/>
      <c r="Y172" s="60"/>
      <c r="Z172" s="60"/>
      <c r="AA172" s="7"/>
      <c r="AB172" s="139"/>
      <c r="AC172" s="139"/>
      <c r="AD172" s="139"/>
      <c r="AE172" s="139"/>
      <c r="AF172" s="200">
        <v>11</v>
      </c>
    </row>
    <row r="173" spans="1:32" s="200" customFormat="1" ht="11.45" customHeight="1">
      <c r="A173" s="569"/>
      <c r="B173" s="65"/>
      <c r="C173" s="65"/>
      <c r="K173" s="60"/>
      <c r="L173" s="65"/>
      <c r="M173" s="65"/>
      <c r="N173" s="60"/>
      <c r="O173" s="60"/>
      <c r="P173" s="60"/>
      <c r="Q173" s="60"/>
      <c r="R173" s="65"/>
      <c r="S173" s="60"/>
      <c r="T173" s="60"/>
      <c r="U173" s="306"/>
      <c r="V173" s="60"/>
      <c r="W173" s="60"/>
      <c r="X173" s="60"/>
      <c r="Y173" s="60"/>
      <c r="Z173" s="60"/>
      <c r="AA173" s="7"/>
      <c r="AB173" s="139"/>
      <c r="AC173" s="139"/>
      <c r="AD173" s="139"/>
      <c r="AE173" s="139"/>
      <c r="AF173" s="200">
        <v>11</v>
      </c>
    </row>
    <row r="174" spans="1:32" s="200" customFormat="1" ht="11.45" customHeight="1">
      <c r="A174" s="569"/>
      <c r="B174" s="65"/>
      <c r="C174" s="65"/>
      <c r="K174" s="60"/>
      <c r="L174" s="65"/>
      <c r="M174" s="65"/>
      <c r="N174" s="60"/>
      <c r="O174" s="60"/>
      <c r="P174" s="60"/>
      <c r="Q174" s="60"/>
      <c r="R174" s="65"/>
      <c r="S174" s="60"/>
      <c r="T174" s="60"/>
      <c r="U174" s="306"/>
      <c r="V174" s="60"/>
      <c r="W174" s="60"/>
      <c r="X174" s="60"/>
      <c r="Y174" s="60"/>
      <c r="Z174" s="60"/>
      <c r="AA174" s="7"/>
      <c r="AB174" s="139"/>
      <c r="AC174" s="139"/>
      <c r="AD174" s="139"/>
      <c r="AE174" s="139"/>
      <c r="AF174" s="200">
        <v>11</v>
      </c>
    </row>
    <row r="175" spans="1:32" s="200" customFormat="1" ht="11.45" customHeight="1">
      <c r="A175" s="569"/>
      <c r="B175" s="65"/>
      <c r="C175" s="65"/>
      <c r="K175" s="60"/>
      <c r="L175" s="65"/>
      <c r="M175" s="65"/>
      <c r="N175" s="60"/>
      <c r="O175" s="60"/>
      <c r="P175" s="60"/>
      <c r="Q175" s="60"/>
      <c r="R175" s="65"/>
      <c r="S175" s="60"/>
      <c r="T175" s="60"/>
      <c r="U175" s="306"/>
      <c r="V175" s="60"/>
      <c r="W175" s="60"/>
      <c r="X175" s="60"/>
      <c r="Y175" s="60"/>
      <c r="Z175" s="60"/>
      <c r="AA175" s="7"/>
      <c r="AB175" s="139"/>
      <c r="AC175" s="139"/>
      <c r="AD175" s="139"/>
      <c r="AE175" s="139"/>
      <c r="AF175" s="200">
        <v>11</v>
      </c>
    </row>
    <row r="176" spans="1:32" s="200" customFormat="1" ht="11.45" customHeight="1">
      <c r="A176" s="569"/>
      <c r="B176" s="65"/>
      <c r="C176" s="65"/>
      <c r="K176" s="60"/>
      <c r="L176" s="65"/>
      <c r="M176" s="65"/>
      <c r="N176" s="60"/>
      <c r="O176" s="60"/>
      <c r="P176" s="60"/>
      <c r="Q176" s="60"/>
      <c r="R176" s="65"/>
      <c r="S176" s="60"/>
      <c r="T176" s="60"/>
      <c r="U176" s="306"/>
      <c r="V176" s="60"/>
      <c r="W176" s="60"/>
      <c r="X176" s="60"/>
      <c r="Y176" s="60"/>
      <c r="Z176" s="60"/>
      <c r="AA176" s="7"/>
      <c r="AB176" s="139"/>
      <c r="AC176" s="139"/>
      <c r="AD176" s="139"/>
      <c r="AE176" s="139"/>
      <c r="AF176" s="200">
        <v>11</v>
      </c>
    </row>
    <row r="177" spans="1:32" s="200" customFormat="1" ht="11.45" customHeight="1">
      <c r="A177" s="569"/>
      <c r="B177" s="65"/>
      <c r="C177" s="65"/>
      <c r="K177" s="60"/>
      <c r="L177" s="65"/>
      <c r="M177" s="65"/>
      <c r="N177" s="60"/>
      <c r="O177" s="60"/>
      <c r="P177" s="60"/>
      <c r="Q177" s="60"/>
      <c r="R177" s="65"/>
      <c r="S177" s="60"/>
      <c r="T177" s="60"/>
      <c r="U177" s="306"/>
      <c r="V177" s="60"/>
      <c r="W177" s="60"/>
      <c r="X177" s="60"/>
      <c r="Y177" s="60"/>
      <c r="Z177" s="60"/>
      <c r="AA177" s="7"/>
      <c r="AB177" s="139"/>
      <c r="AC177" s="139"/>
      <c r="AD177" s="139"/>
      <c r="AE177" s="139"/>
      <c r="AF177" s="200">
        <v>11</v>
      </c>
    </row>
    <row r="178" spans="1:32" s="200" customFormat="1" ht="11.45" customHeight="1">
      <c r="A178" s="569"/>
      <c r="B178" s="65"/>
      <c r="C178" s="65"/>
      <c r="K178" s="60"/>
      <c r="L178" s="65"/>
      <c r="M178" s="65"/>
      <c r="N178" s="60"/>
      <c r="O178" s="60"/>
      <c r="P178" s="60"/>
      <c r="Q178" s="60"/>
      <c r="R178" s="65"/>
      <c r="S178" s="60"/>
      <c r="T178" s="60"/>
      <c r="U178" s="306"/>
      <c r="V178" s="60"/>
      <c r="W178" s="60"/>
      <c r="X178" s="60"/>
      <c r="Y178" s="60"/>
      <c r="Z178" s="60"/>
      <c r="AA178" s="7"/>
      <c r="AB178" s="139"/>
      <c r="AC178" s="139"/>
      <c r="AD178" s="139"/>
      <c r="AE178" s="139"/>
      <c r="AF178" s="200">
        <v>11</v>
      </c>
    </row>
    <row r="179" spans="1:32" s="200" customFormat="1" ht="11.45" customHeight="1">
      <c r="A179" s="569"/>
      <c r="B179" s="65"/>
      <c r="C179" s="65"/>
      <c r="K179" s="60"/>
      <c r="L179" s="65"/>
      <c r="M179" s="65"/>
      <c r="N179" s="60"/>
      <c r="O179" s="60"/>
      <c r="P179" s="60"/>
      <c r="Q179" s="60"/>
      <c r="R179" s="65"/>
      <c r="S179" s="60"/>
      <c r="T179" s="60"/>
      <c r="U179" s="306"/>
      <c r="V179" s="60"/>
      <c r="W179" s="60"/>
      <c r="X179" s="60"/>
      <c r="Y179" s="60"/>
      <c r="Z179" s="60"/>
      <c r="AA179" s="7"/>
      <c r="AB179" s="139"/>
      <c r="AC179" s="139"/>
      <c r="AD179" s="139"/>
      <c r="AE179" s="139"/>
      <c r="AF179" s="200">
        <v>11</v>
      </c>
    </row>
    <row r="180" spans="1:32" s="200" customFormat="1" ht="11.45" customHeight="1">
      <c r="A180" s="569"/>
      <c r="B180" s="65"/>
      <c r="C180" s="65"/>
      <c r="K180" s="60"/>
      <c r="L180" s="65"/>
      <c r="M180" s="65"/>
      <c r="N180" s="60"/>
      <c r="O180" s="60"/>
      <c r="P180" s="60"/>
      <c r="Q180" s="60"/>
      <c r="R180" s="65"/>
      <c r="S180" s="60"/>
      <c r="T180" s="60"/>
      <c r="U180" s="306"/>
      <c r="V180" s="60"/>
      <c r="W180" s="60"/>
      <c r="X180" s="60"/>
      <c r="Y180" s="60"/>
      <c r="Z180" s="60"/>
      <c r="AA180" s="7"/>
      <c r="AB180" s="139"/>
      <c r="AC180" s="139"/>
      <c r="AD180" s="139"/>
      <c r="AE180" s="139"/>
      <c r="AF180" s="200">
        <v>11</v>
      </c>
    </row>
    <row r="181" spans="1:32" s="200" customFormat="1" ht="11.45" customHeight="1">
      <c r="A181" s="569"/>
      <c r="B181" s="65"/>
      <c r="C181" s="65"/>
      <c r="K181" s="60"/>
      <c r="L181" s="65"/>
      <c r="M181" s="65"/>
      <c r="N181" s="60"/>
      <c r="O181" s="60"/>
      <c r="P181" s="60"/>
      <c r="Q181" s="60"/>
      <c r="R181" s="65"/>
      <c r="S181" s="60"/>
      <c r="T181" s="60"/>
      <c r="U181" s="306"/>
      <c r="V181" s="60"/>
      <c r="W181" s="60"/>
      <c r="X181" s="60"/>
      <c r="Y181" s="60"/>
      <c r="Z181" s="60"/>
      <c r="AA181" s="7"/>
      <c r="AB181" s="139"/>
      <c r="AC181" s="139"/>
      <c r="AD181" s="139"/>
      <c r="AE181" s="139"/>
      <c r="AF181" s="200">
        <v>11</v>
      </c>
    </row>
    <row r="182" spans="1:32" s="200" customFormat="1" ht="11.45" customHeight="1">
      <c r="A182" s="569"/>
      <c r="B182" s="65"/>
      <c r="C182" s="65"/>
      <c r="K182" s="60"/>
      <c r="L182" s="65"/>
      <c r="M182" s="65"/>
      <c r="N182" s="60"/>
      <c r="O182" s="60"/>
      <c r="P182" s="60"/>
      <c r="Q182" s="60"/>
      <c r="R182" s="65"/>
      <c r="S182" s="60"/>
      <c r="T182" s="60"/>
      <c r="U182" s="306"/>
      <c r="V182" s="60"/>
      <c r="W182" s="60"/>
      <c r="X182" s="60"/>
      <c r="Y182" s="60"/>
      <c r="Z182" s="60"/>
      <c r="AA182" s="7"/>
      <c r="AB182" s="139"/>
      <c r="AC182" s="139"/>
      <c r="AD182" s="139"/>
      <c r="AE182" s="139"/>
      <c r="AF182" s="200">
        <v>11</v>
      </c>
    </row>
    <row r="183" spans="1:32" s="200" customFormat="1" ht="11.45" customHeight="1">
      <c r="A183" s="569"/>
      <c r="B183" s="65"/>
      <c r="C183" s="65"/>
      <c r="K183" s="60"/>
      <c r="L183" s="65"/>
      <c r="M183" s="65"/>
      <c r="N183" s="60"/>
      <c r="O183" s="60"/>
      <c r="P183" s="60"/>
      <c r="Q183" s="60"/>
      <c r="R183" s="65"/>
      <c r="S183" s="60"/>
      <c r="T183" s="60"/>
      <c r="U183" s="306"/>
      <c r="V183" s="60"/>
      <c r="W183" s="60"/>
      <c r="X183" s="60"/>
      <c r="Y183" s="60"/>
      <c r="Z183" s="60"/>
      <c r="AA183" s="7"/>
      <c r="AB183" s="139"/>
      <c r="AC183" s="139"/>
      <c r="AD183" s="139"/>
      <c r="AE183" s="139"/>
      <c r="AF183" s="200">
        <v>11</v>
      </c>
    </row>
    <row r="184" spans="1:32" s="200" customFormat="1" ht="11.45" customHeight="1">
      <c r="A184" s="569"/>
      <c r="B184" s="65"/>
      <c r="C184" s="65"/>
      <c r="K184" s="60"/>
      <c r="L184" s="65"/>
      <c r="M184" s="65"/>
      <c r="N184" s="60"/>
      <c r="O184" s="60"/>
      <c r="P184" s="60"/>
      <c r="Q184" s="60"/>
      <c r="R184" s="65"/>
      <c r="S184" s="60"/>
      <c r="T184" s="60"/>
      <c r="U184" s="306"/>
      <c r="V184" s="60"/>
      <c r="W184" s="60"/>
      <c r="X184" s="60"/>
      <c r="Y184" s="60"/>
      <c r="Z184" s="60"/>
      <c r="AA184" s="7"/>
      <c r="AB184" s="139"/>
      <c r="AC184" s="139"/>
      <c r="AD184" s="139"/>
      <c r="AE184" s="139"/>
      <c r="AF184" s="200">
        <v>11</v>
      </c>
    </row>
    <row r="185" spans="1:32" s="200" customFormat="1" ht="11.45" customHeight="1">
      <c r="A185" s="569"/>
      <c r="B185" s="65"/>
      <c r="C185" s="65"/>
      <c r="K185" s="60"/>
      <c r="L185" s="65"/>
      <c r="M185" s="65"/>
      <c r="N185" s="60"/>
      <c r="O185" s="60"/>
      <c r="P185" s="60"/>
      <c r="Q185" s="60"/>
      <c r="R185" s="65"/>
      <c r="S185" s="60"/>
      <c r="T185" s="60"/>
      <c r="U185" s="306"/>
      <c r="V185" s="60"/>
      <c r="W185" s="60"/>
      <c r="X185" s="60"/>
      <c r="Y185" s="60"/>
      <c r="Z185" s="60"/>
      <c r="AA185" s="7"/>
      <c r="AB185" s="139"/>
      <c r="AC185" s="139"/>
      <c r="AD185" s="139"/>
      <c r="AE185" s="139"/>
      <c r="AF185" s="200">
        <v>11</v>
      </c>
    </row>
    <row r="186" spans="1:32" s="200" customFormat="1" ht="11.45" customHeight="1">
      <c r="A186" s="569"/>
      <c r="B186" s="65"/>
      <c r="C186" s="65"/>
      <c r="K186" s="60"/>
      <c r="L186" s="65"/>
      <c r="M186" s="65"/>
      <c r="N186" s="60"/>
      <c r="O186" s="60"/>
      <c r="P186" s="60"/>
      <c r="Q186" s="60"/>
      <c r="R186" s="65"/>
      <c r="S186" s="60"/>
      <c r="T186" s="60"/>
      <c r="U186" s="306"/>
      <c r="V186" s="60"/>
      <c r="W186" s="60"/>
      <c r="X186" s="60"/>
      <c r="Y186" s="60"/>
      <c r="Z186" s="60"/>
      <c r="AA186" s="7"/>
      <c r="AB186" s="139"/>
      <c r="AC186" s="139"/>
      <c r="AD186" s="139"/>
      <c r="AE186" s="139"/>
      <c r="AF186" s="200">
        <v>11</v>
      </c>
    </row>
    <row r="187" spans="1:32" s="200" customFormat="1" ht="11.45" customHeight="1">
      <c r="A187" s="569"/>
      <c r="B187" s="65"/>
      <c r="C187" s="65"/>
      <c r="K187" s="60"/>
      <c r="L187" s="65"/>
      <c r="M187" s="65"/>
      <c r="N187" s="60"/>
      <c r="O187" s="60"/>
      <c r="P187" s="60"/>
      <c r="Q187" s="60"/>
      <c r="R187" s="65"/>
      <c r="S187" s="60"/>
      <c r="T187" s="60"/>
      <c r="U187" s="306"/>
      <c r="V187" s="60"/>
      <c r="W187" s="60"/>
      <c r="X187" s="60"/>
      <c r="Y187" s="60"/>
      <c r="Z187" s="60"/>
      <c r="AA187" s="7"/>
      <c r="AB187" s="139"/>
      <c r="AC187" s="139"/>
      <c r="AD187" s="139"/>
      <c r="AE187" s="139"/>
      <c r="AF187" s="200">
        <v>11</v>
      </c>
    </row>
    <row r="188" spans="1:32" s="200" customFormat="1" ht="11.45" customHeight="1">
      <c r="A188" s="569"/>
      <c r="B188" s="65"/>
      <c r="C188" s="65"/>
      <c r="K188" s="60"/>
      <c r="L188" s="65"/>
      <c r="M188" s="65"/>
      <c r="N188" s="60"/>
      <c r="O188" s="60"/>
      <c r="P188" s="60"/>
      <c r="Q188" s="60"/>
      <c r="R188" s="65"/>
      <c r="S188" s="60"/>
      <c r="T188" s="60"/>
      <c r="U188" s="306"/>
      <c r="V188" s="60"/>
      <c r="W188" s="60"/>
      <c r="X188" s="60"/>
      <c r="Y188" s="60"/>
      <c r="Z188" s="60"/>
      <c r="AA188" s="7"/>
      <c r="AB188" s="139"/>
      <c r="AC188" s="139"/>
      <c r="AD188" s="139"/>
      <c r="AE188" s="139"/>
      <c r="AF188" s="200">
        <v>11</v>
      </c>
    </row>
    <row r="189" spans="1:32" s="200" customFormat="1" ht="11.45" customHeight="1">
      <c r="A189" s="569"/>
      <c r="B189" s="65"/>
      <c r="C189" s="65"/>
      <c r="K189" s="60"/>
      <c r="L189" s="65"/>
      <c r="M189" s="65"/>
      <c r="N189" s="60"/>
      <c r="O189" s="60"/>
      <c r="P189" s="60"/>
      <c r="Q189" s="60"/>
      <c r="R189" s="65"/>
      <c r="S189" s="60"/>
      <c r="T189" s="60"/>
      <c r="U189" s="306"/>
      <c r="V189" s="60"/>
      <c r="W189" s="60"/>
      <c r="X189" s="60"/>
      <c r="Y189" s="60"/>
      <c r="Z189" s="60"/>
      <c r="AA189" s="7"/>
      <c r="AB189" s="139"/>
      <c r="AC189" s="139"/>
      <c r="AD189" s="139"/>
      <c r="AE189" s="139"/>
      <c r="AF189" s="200">
        <v>11</v>
      </c>
    </row>
    <row r="190" spans="1:32" s="200" customFormat="1" ht="11.45" customHeight="1">
      <c r="A190" s="569"/>
      <c r="B190" s="65"/>
      <c r="C190" s="65"/>
      <c r="K190" s="60"/>
      <c r="L190" s="65"/>
      <c r="M190" s="65"/>
      <c r="N190" s="60"/>
      <c r="O190" s="60"/>
      <c r="P190" s="60"/>
      <c r="Q190" s="60"/>
      <c r="R190" s="65"/>
      <c r="S190" s="60"/>
      <c r="T190" s="60"/>
      <c r="U190" s="306"/>
      <c r="V190" s="60"/>
      <c r="W190" s="60"/>
      <c r="X190" s="60"/>
      <c r="Y190" s="60"/>
      <c r="Z190" s="60"/>
      <c r="AA190" s="7"/>
      <c r="AB190" s="139"/>
      <c r="AC190" s="139"/>
      <c r="AD190" s="139"/>
      <c r="AE190" s="139"/>
      <c r="AF190" s="200">
        <v>11</v>
      </c>
    </row>
    <row r="191" spans="1:32" s="200" customFormat="1" ht="11.45" customHeight="1">
      <c r="A191" s="569"/>
      <c r="B191" s="65"/>
      <c r="C191" s="65"/>
      <c r="K191" s="60"/>
      <c r="L191" s="65"/>
      <c r="M191" s="65"/>
      <c r="N191" s="60"/>
      <c r="O191" s="60"/>
      <c r="P191" s="60"/>
      <c r="Q191" s="60"/>
      <c r="R191" s="65"/>
      <c r="S191" s="60"/>
      <c r="T191" s="60"/>
      <c r="U191" s="306"/>
      <c r="V191" s="60"/>
      <c r="W191" s="60"/>
      <c r="X191" s="60"/>
      <c r="Y191" s="60"/>
      <c r="Z191" s="60"/>
      <c r="AA191" s="7"/>
      <c r="AB191" s="139"/>
      <c r="AC191" s="139"/>
      <c r="AD191" s="139"/>
      <c r="AE191" s="139"/>
      <c r="AF191" s="200">
        <v>11</v>
      </c>
    </row>
    <row r="192" spans="1:32" s="200" customFormat="1" ht="11.45" customHeight="1">
      <c r="A192" s="569"/>
      <c r="B192" s="65"/>
      <c r="C192" s="65"/>
      <c r="K192" s="60"/>
      <c r="L192" s="65"/>
      <c r="M192" s="65"/>
      <c r="N192" s="60"/>
      <c r="O192" s="60"/>
      <c r="P192" s="60"/>
      <c r="Q192" s="60"/>
      <c r="R192" s="65"/>
      <c r="S192" s="60"/>
      <c r="T192" s="60"/>
      <c r="U192" s="306"/>
      <c r="V192" s="60"/>
      <c r="W192" s="60"/>
      <c r="X192" s="60"/>
      <c r="Y192" s="60"/>
      <c r="Z192" s="60"/>
      <c r="AA192" s="7"/>
      <c r="AB192" s="139"/>
      <c r="AC192" s="139"/>
      <c r="AD192" s="139"/>
      <c r="AE192" s="139"/>
      <c r="AF192" s="200">
        <v>11</v>
      </c>
    </row>
    <row r="193" spans="1:32" s="200" customFormat="1" ht="11.45" customHeight="1">
      <c r="A193" s="569"/>
      <c r="B193" s="65"/>
      <c r="C193" s="65"/>
      <c r="K193" s="60"/>
      <c r="L193" s="65"/>
      <c r="M193" s="65"/>
      <c r="N193" s="60"/>
      <c r="O193" s="60"/>
      <c r="P193" s="60"/>
      <c r="Q193" s="60"/>
      <c r="R193" s="65"/>
      <c r="S193" s="60"/>
      <c r="T193" s="60"/>
      <c r="U193" s="306"/>
      <c r="V193" s="60"/>
      <c r="W193" s="60"/>
      <c r="X193" s="60"/>
      <c r="Y193" s="60"/>
      <c r="Z193" s="60"/>
      <c r="AA193" s="7"/>
      <c r="AB193" s="139"/>
      <c r="AC193" s="139"/>
      <c r="AD193" s="139"/>
      <c r="AE193" s="139"/>
      <c r="AF193" s="200">
        <v>11</v>
      </c>
    </row>
    <row r="194" spans="1:32" s="200" customFormat="1" ht="11.45" customHeight="1">
      <c r="A194" s="569"/>
      <c r="B194" s="65"/>
      <c r="C194" s="65"/>
      <c r="K194" s="60"/>
      <c r="L194" s="65"/>
      <c r="M194" s="65"/>
      <c r="N194" s="60"/>
      <c r="O194" s="60"/>
      <c r="P194" s="60"/>
      <c r="Q194" s="60"/>
      <c r="R194" s="65"/>
      <c r="S194" s="60"/>
      <c r="T194" s="60"/>
      <c r="U194" s="306"/>
      <c r="V194" s="60"/>
      <c r="W194" s="60"/>
      <c r="X194" s="60"/>
      <c r="Y194" s="60"/>
      <c r="Z194" s="60"/>
      <c r="AA194" s="7"/>
      <c r="AB194" s="139"/>
      <c r="AC194" s="139"/>
      <c r="AD194" s="139"/>
      <c r="AE194" s="139"/>
      <c r="AF194" s="200">
        <v>11</v>
      </c>
    </row>
    <row r="195" spans="1:32" s="200" customFormat="1" ht="11.45" customHeight="1">
      <c r="A195" s="569"/>
      <c r="B195" s="65"/>
      <c r="C195" s="65"/>
      <c r="K195" s="60"/>
      <c r="L195" s="65"/>
      <c r="M195" s="65"/>
      <c r="N195" s="60"/>
      <c r="O195" s="60"/>
      <c r="P195" s="60"/>
      <c r="Q195" s="60"/>
      <c r="R195" s="65"/>
      <c r="S195" s="60"/>
      <c r="T195" s="60"/>
      <c r="U195" s="306"/>
      <c r="V195" s="60"/>
      <c r="W195" s="60"/>
      <c r="X195" s="60"/>
      <c r="Y195" s="60"/>
      <c r="Z195" s="60"/>
      <c r="AA195" s="7"/>
      <c r="AB195" s="139"/>
      <c r="AC195" s="139"/>
      <c r="AD195" s="139"/>
      <c r="AE195" s="139"/>
      <c r="AF195" s="200">
        <v>11</v>
      </c>
    </row>
    <row r="196" spans="1:32" s="200" customFormat="1" ht="11.45" customHeight="1">
      <c r="A196" s="569"/>
      <c r="B196" s="65"/>
      <c r="C196" s="65"/>
      <c r="K196" s="60"/>
      <c r="L196" s="65"/>
      <c r="M196" s="65"/>
      <c r="N196" s="60"/>
      <c r="O196" s="60"/>
      <c r="P196" s="60"/>
      <c r="Q196" s="60"/>
      <c r="R196" s="65"/>
      <c r="S196" s="60"/>
      <c r="T196" s="60"/>
      <c r="U196" s="306"/>
      <c r="V196" s="60"/>
      <c r="W196" s="60"/>
      <c r="X196" s="60"/>
      <c r="Y196" s="60"/>
      <c r="Z196" s="60"/>
      <c r="AA196" s="7"/>
      <c r="AB196" s="139"/>
      <c r="AC196" s="139"/>
      <c r="AD196" s="139"/>
      <c r="AE196" s="139"/>
      <c r="AF196" s="200">
        <v>11</v>
      </c>
    </row>
    <row r="197" spans="1:32" s="200" customFormat="1" ht="11.45" customHeight="1">
      <c r="A197" s="569"/>
      <c r="B197" s="65"/>
      <c r="C197" s="65"/>
      <c r="K197" s="60"/>
      <c r="L197" s="65"/>
      <c r="M197" s="65"/>
      <c r="N197" s="60"/>
      <c r="O197" s="60"/>
      <c r="P197" s="60"/>
      <c r="Q197" s="60"/>
      <c r="R197" s="65"/>
      <c r="S197" s="60"/>
      <c r="T197" s="60"/>
      <c r="U197" s="306"/>
      <c r="V197" s="60"/>
      <c r="W197" s="60"/>
      <c r="X197" s="60"/>
      <c r="Y197" s="60"/>
      <c r="Z197" s="60"/>
      <c r="AA197" s="7"/>
      <c r="AB197" s="139"/>
      <c r="AC197" s="139"/>
      <c r="AD197" s="139"/>
      <c r="AE197" s="139"/>
      <c r="AF197" s="200">
        <v>11</v>
      </c>
    </row>
    <row r="198" spans="1:32" s="200" customFormat="1" ht="11.45" customHeight="1">
      <c r="A198" s="569"/>
      <c r="B198" s="65"/>
      <c r="C198" s="65"/>
      <c r="K198" s="60"/>
      <c r="L198" s="65"/>
      <c r="M198" s="65"/>
      <c r="N198" s="60"/>
      <c r="O198" s="60"/>
      <c r="P198" s="60"/>
      <c r="Q198" s="60"/>
      <c r="R198" s="65"/>
      <c r="S198" s="60"/>
      <c r="T198" s="60"/>
      <c r="U198" s="306"/>
      <c r="V198" s="60"/>
      <c r="W198" s="60"/>
      <c r="X198" s="60"/>
      <c r="Y198" s="60"/>
      <c r="Z198" s="60"/>
      <c r="AA198" s="7"/>
      <c r="AB198" s="139"/>
      <c r="AC198" s="139"/>
      <c r="AD198" s="139"/>
      <c r="AE198" s="139"/>
      <c r="AF198" s="200">
        <v>11</v>
      </c>
    </row>
    <row r="199" spans="1:32" s="200" customFormat="1" ht="11.45" customHeight="1">
      <c r="A199" s="569"/>
      <c r="B199" s="65"/>
      <c r="C199" s="65"/>
      <c r="K199" s="60"/>
      <c r="L199" s="65"/>
      <c r="M199" s="65"/>
      <c r="N199" s="60"/>
      <c r="O199" s="60"/>
      <c r="P199" s="60"/>
      <c r="Q199" s="60"/>
      <c r="R199" s="65"/>
      <c r="S199" s="60"/>
      <c r="T199" s="60"/>
      <c r="U199" s="306"/>
      <c r="V199" s="60"/>
      <c r="W199" s="60"/>
      <c r="X199" s="60"/>
      <c r="Y199" s="60"/>
      <c r="Z199" s="60"/>
      <c r="AA199" s="7"/>
      <c r="AB199" s="139"/>
      <c r="AC199" s="139"/>
      <c r="AD199" s="139"/>
      <c r="AE199" s="139"/>
      <c r="AF199" s="200">
        <v>11</v>
      </c>
    </row>
    <row r="200" spans="1:32" s="200" customFormat="1" ht="11.45" customHeight="1">
      <c r="A200" s="569"/>
      <c r="B200" s="65"/>
      <c r="C200" s="65"/>
      <c r="K200" s="60"/>
      <c r="L200" s="65"/>
      <c r="M200" s="65"/>
      <c r="N200" s="60"/>
      <c r="O200" s="60"/>
      <c r="P200" s="60"/>
      <c r="Q200" s="60"/>
      <c r="R200" s="65"/>
      <c r="S200" s="60"/>
      <c r="T200" s="60"/>
      <c r="U200" s="306"/>
      <c r="V200" s="60"/>
      <c r="W200" s="60"/>
      <c r="X200" s="60"/>
      <c r="Y200" s="60"/>
      <c r="Z200" s="60"/>
      <c r="AA200" s="7"/>
      <c r="AB200" s="139"/>
      <c r="AC200" s="139"/>
      <c r="AD200" s="139"/>
      <c r="AE200" s="139"/>
      <c r="AF200" s="200">
        <v>11</v>
      </c>
    </row>
    <row r="201" spans="1:32" s="200" customFormat="1" ht="11.45" customHeight="1">
      <c r="A201" s="569"/>
      <c r="B201" s="65"/>
      <c r="C201" s="65"/>
      <c r="K201" s="60"/>
      <c r="L201" s="65"/>
      <c r="M201" s="65"/>
      <c r="N201" s="60"/>
      <c r="O201" s="60"/>
      <c r="P201" s="60"/>
      <c r="Q201" s="60"/>
      <c r="R201" s="65"/>
      <c r="S201" s="60"/>
      <c r="T201" s="60"/>
      <c r="U201" s="306"/>
      <c r="V201" s="60"/>
      <c r="W201" s="60"/>
      <c r="X201" s="60"/>
      <c r="Y201" s="60"/>
      <c r="Z201" s="60"/>
      <c r="AA201" s="7"/>
      <c r="AB201" s="139"/>
      <c r="AC201" s="139"/>
      <c r="AD201" s="139"/>
      <c r="AE201" s="139"/>
      <c r="AF201" s="200">
        <v>11</v>
      </c>
    </row>
    <row r="202" spans="1:32" s="200" customFormat="1" ht="11.45" customHeight="1">
      <c r="A202" s="569"/>
      <c r="B202" s="65"/>
      <c r="C202" s="65"/>
      <c r="K202" s="60"/>
      <c r="L202" s="65"/>
      <c r="M202" s="65"/>
      <c r="N202" s="60"/>
      <c r="O202" s="60"/>
      <c r="P202" s="60"/>
      <c r="Q202" s="60"/>
      <c r="R202" s="65"/>
      <c r="S202" s="60"/>
      <c r="T202" s="60"/>
      <c r="U202" s="306"/>
      <c r="V202" s="60"/>
      <c r="W202" s="60"/>
      <c r="X202" s="60"/>
      <c r="Y202" s="60"/>
      <c r="Z202" s="60"/>
      <c r="AA202" s="7"/>
      <c r="AB202" s="139"/>
      <c r="AC202" s="139"/>
      <c r="AD202" s="139"/>
      <c r="AE202" s="139"/>
      <c r="AF202" s="200">
        <v>11</v>
      </c>
    </row>
    <row r="203" spans="1:32" s="200" customFormat="1" ht="11.45" customHeight="1">
      <c r="A203" s="569"/>
      <c r="B203" s="65"/>
      <c r="C203" s="65"/>
      <c r="K203" s="60"/>
      <c r="L203" s="65"/>
      <c r="M203" s="65"/>
      <c r="N203" s="60"/>
      <c r="O203" s="60"/>
      <c r="P203" s="60"/>
      <c r="Q203" s="60"/>
      <c r="R203" s="65"/>
      <c r="S203" s="60"/>
      <c r="T203" s="60"/>
      <c r="U203" s="306"/>
      <c r="V203" s="60"/>
      <c r="W203" s="60"/>
      <c r="X203" s="60"/>
      <c r="Y203" s="60"/>
      <c r="Z203" s="60"/>
      <c r="AA203" s="7"/>
      <c r="AB203" s="139"/>
      <c r="AC203" s="139"/>
      <c r="AD203" s="139"/>
      <c r="AE203" s="139"/>
      <c r="AF203" s="200">
        <v>11</v>
      </c>
    </row>
    <row r="204" spans="1:32" s="200" customFormat="1" ht="11.45" customHeight="1">
      <c r="A204" s="569"/>
      <c r="B204" s="65"/>
      <c r="C204" s="65"/>
      <c r="K204" s="60"/>
      <c r="L204" s="65"/>
      <c r="M204" s="65"/>
      <c r="N204" s="60"/>
      <c r="O204" s="60"/>
      <c r="P204" s="60"/>
      <c r="Q204" s="60"/>
      <c r="R204" s="65"/>
      <c r="S204" s="60"/>
      <c r="T204" s="60"/>
      <c r="U204" s="306"/>
      <c r="V204" s="60"/>
      <c r="W204" s="60"/>
      <c r="X204" s="60"/>
      <c r="Y204" s="60"/>
      <c r="Z204" s="60"/>
      <c r="AA204" s="7"/>
      <c r="AB204" s="139"/>
      <c r="AC204" s="139"/>
      <c r="AD204" s="139"/>
      <c r="AE204" s="139"/>
      <c r="AF204" s="200">
        <v>11</v>
      </c>
    </row>
    <row r="205" spans="1:32" s="200" customFormat="1" ht="11.45" customHeight="1">
      <c r="A205" s="569"/>
      <c r="B205" s="65"/>
      <c r="C205" s="65"/>
      <c r="K205" s="60"/>
      <c r="L205" s="65"/>
      <c r="M205" s="65"/>
      <c r="N205" s="60"/>
      <c r="O205" s="60"/>
      <c r="P205" s="60"/>
      <c r="Q205" s="60"/>
      <c r="R205" s="65"/>
      <c r="S205" s="60"/>
      <c r="T205" s="60"/>
      <c r="U205" s="306"/>
      <c r="V205" s="60"/>
      <c r="W205" s="60"/>
      <c r="X205" s="60"/>
      <c r="Y205" s="60"/>
      <c r="Z205" s="60"/>
      <c r="AA205" s="7"/>
      <c r="AB205" s="139"/>
      <c r="AC205" s="139"/>
      <c r="AD205" s="139"/>
      <c r="AE205" s="139"/>
      <c r="AF205" s="200">
        <v>11</v>
      </c>
    </row>
    <row r="206" spans="1:32" s="200" customFormat="1" ht="11.45" customHeight="1">
      <c r="A206" s="569"/>
      <c r="B206" s="65"/>
      <c r="C206" s="65"/>
      <c r="K206" s="60"/>
      <c r="L206" s="65"/>
      <c r="M206" s="65"/>
      <c r="N206" s="60"/>
      <c r="O206" s="60"/>
      <c r="P206" s="60"/>
      <c r="Q206" s="60"/>
      <c r="R206" s="65"/>
      <c r="S206" s="60"/>
      <c r="T206" s="60"/>
      <c r="U206" s="306"/>
      <c r="V206" s="60"/>
      <c r="W206" s="60"/>
      <c r="X206" s="60"/>
      <c r="Y206" s="60"/>
      <c r="Z206" s="60"/>
      <c r="AA206" s="7"/>
      <c r="AB206" s="139"/>
      <c r="AC206" s="139"/>
      <c r="AD206" s="139"/>
      <c r="AE206" s="139"/>
      <c r="AF206" s="200">
        <v>11</v>
      </c>
    </row>
    <row r="207" spans="1:32" s="200" customFormat="1" ht="11.45" customHeight="1">
      <c r="A207" s="569"/>
      <c r="B207" s="65"/>
      <c r="C207" s="65"/>
      <c r="K207" s="60"/>
      <c r="L207" s="65"/>
      <c r="M207" s="65"/>
      <c r="N207" s="60"/>
      <c r="O207" s="60"/>
      <c r="P207" s="60"/>
      <c r="Q207" s="60"/>
      <c r="R207" s="65"/>
      <c r="S207" s="60"/>
      <c r="T207" s="60"/>
      <c r="U207" s="306"/>
      <c r="V207" s="60"/>
      <c r="W207" s="60"/>
      <c r="X207" s="60"/>
      <c r="Y207" s="60"/>
      <c r="Z207" s="60"/>
      <c r="AA207" s="7"/>
      <c r="AB207" s="139"/>
      <c r="AC207" s="139"/>
      <c r="AD207" s="139"/>
      <c r="AE207" s="139"/>
      <c r="AF207" s="200">
        <v>11</v>
      </c>
    </row>
    <row r="208" spans="1:32" s="200" customFormat="1" ht="11.45" customHeight="1">
      <c r="A208" s="569"/>
      <c r="B208" s="65"/>
      <c r="C208" s="65"/>
      <c r="K208" s="60"/>
      <c r="L208" s="65"/>
      <c r="M208" s="65"/>
      <c r="N208" s="60"/>
      <c r="O208" s="60"/>
      <c r="P208" s="60"/>
      <c r="Q208" s="60"/>
      <c r="R208" s="65"/>
      <c r="S208" s="60"/>
      <c r="T208" s="60"/>
      <c r="U208" s="306"/>
      <c r="V208" s="60"/>
      <c r="W208" s="60"/>
      <c r="X208" s="60"/>
      <c r="Y208" s="60"/>
      <c r="Z208" s="60"/>
      <c r="AA208" s="7"/>
      <c r="AB208" s="139"/>
      <c r="AC208" s="139"/>
      <c r="AD208" s="139"/>
      <c r="AE208" s="139"/>
      <c r="AF208" s="200">
        <v>11</v>
      </c>
    </row>
    <row r="209" spans="1:32" s="200" customFormat="1" ht="11.45" customHeight="1">
      <c r="A209" s="569"/>
      <c r="B209" s="65"/>
      <c r="C209" s="65"/>
      <c r="K209" s="60"/>
      <c r="L209" s="65"/>
      <c r="M209" s="65"/>
      <c r="N209" s="60"/>
      <c r="O209" s="60"/>
      <c r="P209" s="60"/>
      <c r="Q209" s="60"/>
      <c r="R209" s="65"/>
      <c r="S209" s="60"/>
      <c r="T209" s="60"/>
      <c r="U209" s="306"/>
      <c r="V209" s="60"/>
      <c r="W209" s="60"/>
      <c r="X209" s="60"/>
      <c r="Y209" s="60"/>
      <c r="Z209" s="60"/>
      <c r="AA209" s="7"/>
      <c r="AB209" s="139"/>
      <c r="AC209" s="139"/>
      <c r="AD209" s="139"/>
      <c r="AE209" s="139"/>
      <c r="AF209" s="200">
        <v>11</v>
      </c>
    </row>
    <row r="210" spans="1:32" s="200" customFormat="1" ht="11.45" customHeight="1">
      <c r="A210" s="569"/>
      <c r="B210" s="65"/>
      <c r="C210" s="65"/>
      <c r="K210" s="60"/>
      <c r="L210" s="65"/>
      <c r="M210" s="65"/>
      <c r="N210" s="60"/>
      <c r="O210" s="60"/>
      <c r="P210" s="60"/>
      <c r="Q210" s="60"/>
      <c r="R210" s="65"/>
      <c r="S210" s="60"/>
      <c r="T210" s="60"/>
      <c r="U210" s="306"/>
      <c r="V210" s="60"/>
      <c r="W210" s="60"/>
      <c r="X210" s="60"/>
      <c r="Y210" s="60"/>
      <c r="Z210" s="60"/>
      <c r="AA210" s="7"/>
      <c r="AB210" s="139"/>
      <c r="AC210" s="139"/>
      <c r="AD210" s="139"/>
      <c r="AE210" s="139"/>
      <c r="AF210" s="200">
        <v>11</v>
      </c>
    </row>
    <row r="211" spans="1:32" s="200" customFormat="1" ht="11.45" customHeight="1">
      <c r="A211" s="569"/>
      <c r="B211" s="65"/>
      <c r="C211" s="65"/>
      <c r="K211" s="60"/>
      <c r="L211" s="65"/>
      <c r="M211" s="65"/>
      <c r="N211" s="60"/>
      <c r="O211" s="60"/>
      <c r="P211" s="60"/>
      <c r="Q211" s="60"/>
      <c r="R211" s="65"/>
      <c r="S211" s="60"/>
      <c r="T211" s="60"/>
      <c r="U211" s="306"/>
      <c r="V211" s="60"/>
      <c r="W211" s="60"/>
      <c r="X211" s="60"/>
      <c r="Y211" s="60"/>
      <c r="Z211" s="60"/>
      <c r="AA211" s="7"/>
      <c r="AB211" s="139"/>
      <c r="AC211" s="139"/>
      <c r="AD211" s="139"/>
      <c r="AE211" s="139"/>
      <c r="AF211" s="200">
        <v>11</v>
      </c>
    </row>
    <row r="212" spans="1:32" s="200" customFormat="1" ht="11.45" customHeight="1">
      <c r="A212" s="569"/>
      <c r="B212" s="65"/>
      <c r="C212" s="65"/>
      <c r="K212" s="60"/>
      <c r="L212" s="65"/>
      <c r="M212" s="65"/>
      <c r="N212" s="60"/>
      <c r="O212" s="60"/>
      <c r="P212" s="60"/>
      <c r="Q212" s="60"/>
      <c r="R212" s="65"/>
      <c r="S212" s="60"/>
      <c r="T212" s="60"/>
      <c r="U212" s="306"/>
      <c r="V212" s="60"/>
      <c r="W212" s="60"/>
      <c r="X212" s="60"/>
      <c r="Y212" s="60"/>
      <c r="Z212" s="60"/>
      <c r="AA212" s="7"/>
      <c r="AB212" s="139"/>
      <c r="AC212" s="139"/>
      <c r="AD212" s="139"/>
      <c r="AE212" s="139"/>
      <c r="AF212" s="200">
        <v>11</v>
      </c>
    </row>
    <row r="213" spans="1:32" s="200" customFormat="1" ht="11.45" customHeight="1">
      <c r="A213" s="569"/>
      <c r="B213" s="65"/>
      <c r="C213" s="65"/>
      <c r="K213" s="60"/>
      <c r="L213" s="65"/>
      <c r="M213" s="65"/>
      <c r="N213" s="60"/>
      <c r="O213" s="60"/>
      <c r="P213" s="60"/>
      <c r="Q213" s="60"/>
      <c r="R213" s="65"/>
      <c r="S213" s="60"/>
      <c r="T213" s="60"/>
      <c r="U213" s="306"/>
      <c r="V213" s="60"/>
      <c r="W213" s="60"/>
      <c r="X213" s="60"/>
      <c r="Y213" s="60"/>
      <c r="Z213" s="60"/>
      <c r="AA213" s="7"/>
      <c r="AB213" s="139"/>
      <c r="AC213" s="139"/>
      <c r="AD213" s="139"/>
      <c r="AE213" s="139"/>
      <c r="AF213" s="200">
        <v>11</v>
      </c>
    </row>
    <row r="214" spans="1:32" s="200" customFormat="1" ht="11.45" customHeight="1">
      <c r="A214" s="569"/>
      <c r="B214" s="65"/>
      <c r="C214" s="65"/>
      <c r="K214" s="60"/>
      <c r="L214" s="65"/>
      <c r="M214" s="65"/>
      <c r="N214" s="60"/>
      <c r="O214" s="60"/>
      <c r="P214" s="60"/>
      <c r="Q214" s="60"/>
      <c r="R214" s="65"/>
      <c r="S214" s="60"/>
      <c r="T214" s="60"/>
      <c r="U214" s="306"/>
      <c r="V214" s="60"/>
      <c r="W214" s="60"/>
      <c r="X214" s="60"/>
      <c r="Y214" s="60"/>
      <c r="Z214" s="60"/>
      <c r="AA214" s="7"/>
      <c r="AB214" s="139"/>
      <c r="AC214" s="139"/>
      <c r="AD214" s="139"/>
      <c r="AE214" s="139"/>
      <c r="AF214" s="200">
        <v>11</v>
      </c>
    </row>
    <row r="215" spans="1:32" s="200" customFormat="1" ht="11.45" customHeight="1">
      <c r="A215" s="569"/>
      <c r="B215" s="65"/>
      <c r="C215" s="65"/>
      <c r="K215" s="60"/>
      <c r="L215" s="65"/>
      <c r="M215" s="65"/>
      <c r="N215" s="60"/>
      <c r="O215" s="60"/>
      <c r="P215" s="60"/>
      <c r="Q215" s="60"/>
      <c r="R215" s="65"/>
      <c r="S215" s="60"/>
      <c r="T215" s="60"/>
      <c r="U215" s="306"/>
      <c r="V215" s="60"/>
      <c r="W215" s="60"/>
      <c r="X215" s="60"/>
      <c r="Y215" s="60"/>
      <c r="Z215" s="60"/>
      <c r="AA215" s="7"/>
      <c r="AB215" s="139"/>
      <c r="AC215" s="139"/>
      <c r="AD215" s="139"/>
      <c r="AE215" s="139"/>
      <c r="AF215" s="200">
        <v>11</v>
      </c>
    </row>
    <row r="216" spans="1:32" s="200" customFormat="1" ht="11.45" customHeight="1">
      <c r="A216" s="569"/>
      <c r="B216" s="65"/>
      <c r="C216" s="65"/>
      <c r="K216" s="60"/>
      <c r="L216" s="65"/>
      <c r="M216" s="65"/>
      <c r="N216" s="60"/>
      <c r="O216" s="60"/>
      <c r="P216" s="60"/>
      <c r="Q216" s="60"/>
      <c r="R216" s="65"/>
      <c r="S216" s="60"/>
      <c r="T216" s="60"/>
      <c r="U216" s="306"/>
      <c r="V216" s="60"/>
      <c r="W216" s="60"/>
      <c r="X216" s="60"/>
      <c r="Y216" s="60"/>
      <c r="Z216" s="60"/>
      <c r="AA216" s="7"/>
      <c r="AB216" s="139"/>
      <c r="AC216" s="139"/>
      <c r="AD216" s="139"/>
      <c r="AE216" s="139"/>
      <c r="AF216" s="200">
        <v>11</v>
      </c>
    </row>
    <row r="217" spans="1:32" s="200" customFormat="1" ht="11.45" customHeight="1">
      <c r="A217" s="569"/>
      <c r="B217" s="65"/>
      <c r="C217" s="65"/>
      <c r="K217" s="60"/>
      <c r="L217" s="65"/>
      <c r="M217" s="65"/>
      <c r="N217" s="60"/>
      <c r="O217" s="60"/>
      <c r="P217" s="60"/>
      <c r="Q217" s="60"/>
      <c r="R217" s="65"/>
      <c r="S217" s="60"/>
      <c r="T217" s="60"/>
      <c r="U217" s="306"/>
      <c r="V217" s="60"/>
      <c r="W217" s="60"/>
      <c r="X217" s="60"/>
      <c r="Y217" s="60"/>
      <c r="Z217" s="60"/>
      <c r="AA217" s="7"/>
      <c r="AB217" s="139"/>
      <c r="AC217" s="139"/>
      <c r="AD217" s="139"/>
      <c r="AE217" s="139"/>
      <c r="AF217" s="200">
        <v>11</v>
      </c>
    </row>
    <row r="218" spans="1:32" s="200" customFormat="1" ht="11.45" customHeight="1">
      <c r="A218" s="569"/>
      <c r="B218" s="65"/>
      <c r="C218" s="65"/>
      <c r="K218" s="60"/>
      <c r="L218" s="65"/>
      <c r="M218" s="65"/>
      <c r="N218" s="60"/>
      <c r="O218" s="60"/>
      <c r="P218" s="60"/>
      <c r="Q218" s="60"/>
      <c r="R218" s="65"/>
      <c r="S218" s="60"/>
      <c r="T218" s="60"/>
      <c r="U218" s="306"/>
      <c r="V218" s="60"/>
      <c r="W218" s="60"/>
      <c r="X218" s="60"/>
      <c r="Y218" s="60"/>
      <c r="Z218" s="60"/>
      <c r="AA218" s="7"/>
      <c r="AB218" s="139"/>
      <c r="AC218" s="139"/>
      <c r="AD218" s="139"/>
      <c r="AE218" s="139"/>
      <c r="AF218" s="200">
        <v>11</v>
      </c>
    </row>
    <row r="219" spans="1:32" s="200" customFormat="1" ht="11.45" customHeight="1">
      <c r="A219" s="569"/>
      <c r="B219" s="65"/>
      <c r="C219" s="65"/>
      <c r="K219" s="60"/>
      <c r="L219" s="65"/>
      <c r="M219" s="65"/>
      <c r="N219" s="60"/>
      <c r="O219" s="60"/>
      <c r="P219" s="60"/>
      <c r="Q219" s="60"/>
      <c r="R219" s="65"/>
      <c r="S219" s="60"/>
      <c r="T219" s="60"/>
      <c r="U219" s="306"/>
      <c r="V219" s="60"/>
      <c r="W219" s="60"/>
      <c r="X219" s="60"/>
      <c r="Y219" s="60"/>
      <c r="Z219" s="60"/>
      <c r="AA219" s="7"/>
      <c r="AB219" s="139"/>
      <c r="AC219" s="139"/>
      <c r="AD219" s="139"/>
      <c r="AE219" s="139"/>
      <c r="AF219" s="200">
        <v>11</v>
      </c>
    </row>
    <row r="220" spans="1:32" s="200" customFormat="1" ht="11.45" customHeight="1">
      <c r="A220" s="569"/>
      <c r="B220" s="65"/>
      <c r="C220" s="65"/>
      <c r="K220" s="60"/>
      <c r="L220" s="65"/>
      <c r="M220" s="65"/>
      <c r="N220" s="60"/>
      <c r="O220" s="60"/>
      <c r="P220" s="60"/>
      <c r="Q220" s="60"/>
      <c r="R220" s="65"/>
      <c r="S220" s="60"/>
      <c r="T220" s="60"/>
      <c r="U220" s="306"/>
      <c r="V220" s="60"/>
      <c r="W220" s="60"/>
      <c r="X220" s="60"/>
      <c r="Y220" s="60"/>
      <c r="Z220" s="60"/>
      <c r="AA220" s="7"/>
      <c r="AB220" s="139"/>
      <c r="AC220" s="139"/>
      <c r="AD220" s="139"/>
      <c r="AE220" s="139"/>
      <c r="AF220" s="200">
        <v>11</v>
      </c>
    </row>
    <row r="221" spans="1:32" s="200" customFormat="1" ht="11.45" customHeight="1">
      <c r="A221" s="569"/>
      <c r="B221" s="65"/>
      <c r="C221" s="65"/>
      <c r="K221" s="60"/>
      <c r="L221" s="65"/>
      <c r="M221" s="65"/>
      <c r="N221" s="60"/>
      <c r="O221" s="60"/>
      <c r="P221" s="60"/>
      <c r="Q221" s="60"/>
      <c r="R221" s="65"/>
      <c r="S221" s="60"/>
      <c r="T221" s="60"/>
      <c r="U221" s="306"/>
      <c r="V221" s="60"/>
      <c r="W221" s="60"/>
      <c r="X221" s="60"/>
      <c r="Y221" s="60"/>
      <c r="Z221" s="60"/>
      <c r="AA221" s="7"/>
      <c r="AB221" s="139"/>
      <c r="AC221" s="139"/>
      <c r="AD221" s="139"/>
      <c r="AE221" s="139"/>
      <c r="AF221" s="200">
        <v>11</v>
      </c>
    </row>
    <row r="222" spans="1:32" s="200" customFormat="1" ht="11.45" customHeight="1">
      <c r="A222" s="569"/>
      <c r="B222" s="65"/>
      <c r="C222" s="65"/>
      <c r="K222" s="60"/>
      <c r="L222" s="65"/>
      <c r="M222" s="65"/>
      <c r="N222" s="60"/>
      <c r="O222" s="60"/>
      <c r="P222" s="60"/>
      <c r="Q222" s="60"/>
      <c r="R222" s="65"/>
      <c r="S222" s="60"/>
      <c r="T222" s="60"/>
      <c r="U222" s="306"/>
      <c r="V222" s="60"/>
      <c r="W222" s="60"/>
      <c r="X222" s="60"/>
      <c r="Y222" s="60"/>
      <c r="Z222" s="60"/>
      <c r="AA222" s="7"/>
      <c r="AB222" s="139"/>
      <c r="AC222" s="139"/>
      <c r="AD222" s="139"/>
      <c r="AE222" s="139"/>
      <c r="AF222" s="200">
        <v>11</v>
      </c>
    </row>
    <row r="223" spans="1:32" s="200" customFormat="1" ht="11.45" customHeight="1">
      <c r="A223" s="569"/>
      <c r="B223" s="65"/>
      <c r="C223" s="65"/>
      <c r="K223" s="60"/>
      <c r="L223" s="65"/>
      <c r="M223" s="65"/>
      <c r="N223" s="60"/>
      <c r="O223" s="60"/>
      <c r="P223" s="60"/>
      <c r="Q223" s="60"/>
      <c r="R223" s="65"/>
      <c r="S223" s="60"/>
      <c r="T223" s="60"/>
      <c r="U223" s="306"/>
      <c r="V223" s="60"/>
      <c r="W223" s="60"/>
      <c r="X223" s="60"/>
      <c r="Y223" s="60"/>
      <c r="Z223" s="60"/>
      <c r="AA223" s="7"/>
      <c r="AB223" s="139"/>
      <c r="AC223" s="139"/>
      <c r="AD223" s="139"/>
      <c r="AE223" s="139"/>
      <c r="AF223" s="200">
        <v>11</v>
      </c>
    </row>
    <row r="224" spans="1:32" s="200" customFormat="1" ht="11.45" customHeight="1">
      <c r="A224" s="569"/>
      <c r="B224" s="65"/>
      <c r="C224" s="65"/>
      <c r="K224" s="60"/>
      <c r="L224" s="65"/>
      <c r="M224" s="65"/>
      <c r="N224" s="60"/>
      <c r="O224" s="60"/>
      <c r="P224" s="60"/>
      <c r="Q224" s="60"/>
      <c r="R224" s="65"/>
      <c r="S224" s="60"/>
      <c r="T224" s="60"/>
      <c r="U224" s="306"/>
      <c r="V224" s="60"/>
      <c r="W224" s="60"/>
      <c r="X224" s="60"/>
      <c r="Y224" s="60"/>
      <c r="Z224" s="60"/>
      <c r="AA224" s="7"/>
      <c r="AB224" s="139"/>
      <c r="AC224" s="139"/>
      <c r="AD224" s="139"/>
      <c r="AE224" s="139"/>
      <c r="AF224" s="200">
        <v>11</v>
      </c>
    </row>
    <row r="225" spans="1:32" s="200" customFormat="1" ht="11.45" customHeight="1">
      <c r="A225" s="569"/>
      <c r="B225" s="65"/>
      <c r="C225" s="65"/>
      <c r="K225" s="60"/>
      <c r="L225" s="65"/>
      <c r="M225" s="65"/>
      <c r="N225" s="60"/>
      <c r="O225" s="60"/>
      <c r="P225" s="60"/>
      <c r="Q225" s="60"/>
      <c r="R225" s="65"/>
      <c r="S225" s="60"/>
      <c r="T225" s="60"/>
      <c r="U225" s="306"/>
      <c r="V225" s="60"/>
      <c r="W225" s="60"/>
      <c r="X225" s="60"/>
      <c r="Y225" s="60"/>
      <c r="Z225" s="60"/>
      <c r="AA225" s="7"/>
      <c r="AB225" s="139"/>
      <c r="AC225" s="139"/>
      <c r="AD225" s="139"/>
      <c r="AE225" s="139"/>
      <c r="AF225" s="200">
        <v>11</v>
      </c>
    </row>
    <row r="226" spans="1:32" s="200" customFormat="1" ht="11.45" customHeight="1">
      <c r="A226" s="569"/>
      <c r="B226" s="65"/>
      <c r="C226" s="65"/>
      <c r="K226" s="60"/>
      <c r="L226" s="65"/>
      <c r="M226" s="65"/>
      <c r="N226" s="60"/>
      <c r="O226" s="60"/>
      <c r="P226" s="60"/>
      <c r="Q226" s="60"/>
      <c r="R226" s="65"/>
      <c r="S226" s="60"/>
      <c r="T226" s="60"/>
      <c r="U226" s="306"/>
      <c r="V226" s="60"/>
      <c r="W226" s="60"/>
      <c r="X226" s="60"/>
      <c r="Y226" s="60"/>
      <c r="Z226" s="60"/>
      <c r="AA226" s="7"/>
      <c r="AB226" s="139"/>
      <c r="AC226" s="139"/>
      <c r="AD226" s="139"/>
      <c r="AE226" s="139"/>
      <c r="AF226" s="200">
        <v>11</v>
      </c>
    </row>
    <row r="227" spans="1:32" s="200" customFormat="1" ht="11.45" customHeight="1">
      <c r="A227" s="569"/>
      <c r="B227" s="65"/>
      <c r="C227" s="65"/>
      <c r="K227" s="60"/>
      <c r="L227" s="65"/>
      <c r="M227" s="65"/>
      <c r="N227" s="60"/>
      <c r="O227" s="60"/>
      <c r="P227" s="60"/>
      <c r="Q227" s="60"/>
      <c r="R227" s="65"/>
      <c r="S227" s="60"/>
      <c r="T227" s="60"/>
      <c r="U227" s="306"/>
      <c r="V227" s="60"/>
      <c r="W227" s="60"/>
      <c r="X227" s="60"/>
      <c r="Y227" s="60"/>
      <c r="Z227" s="60"/>
      <c r="AA227" s="7"/>
      <c r="AB227" s="139"/>
      <c r="AC227" s="139"/>
      <c r="AD227" s="139"/>
      <c r="AE227" s="139"/>
      <c r="AF227" s="200">
        <v>11</v>
      </c>
    </row>
    <row r="228" spans="1:32" s="200" customFormat="1" ht="11.45" customHeight="1">
      <c r="A228" s="569"/>
      <c r="B228" s="65"/>
      <c r="C228" s="65"/>
      <c r="K228" s="60"/>
      <c r="L228" s="65"/>
      <c r="M228" s="65"/>
      <c r="N228" s="60"/>
      <c r="O228" s="60"/>
      <c r="P228" s="60"/>
      <c r="Q228" s="60"/>
      <c r="R228" s="65"/>
      <c r="S228" s="60"/>
      <c r="T228" s="60"/>
      <c r="U228" s="306"/>
      <c r="V228" s="60"/>
      <c r="W228" s="60"/>
      <c r="X228" s="60"/>
      <c r="Y228" s="60"/>
      <c r="Z228" s="60"/>
      <c r="AA228" s="7"/>
      <c r="AB228" s="139"/>
      <c r="AC228" s="139"/>
      <c r="AD228" s="139"/>
      <c r="AE228" s="139"/>
      <c r="AF228" s="200">
        <v>11</v>
      </c>
    </row>
    <row r="229" spans="1:32" s="200" customFormat="1" ht="11.45" customHeight="1">
      <c r="A229" s="569"/>
      <c r="B229" s="65"/>
      <c r="C229" s="65"/>
      <c r="K229" s="60"/>
      <c r="L229" s="65"/>
      <c r="M229" s="65"/>
      <c r="N229" s="60"/>
      <c r="O229" s="60"/>
      <c r="P229" s="60"/>
      <c r="Q229" s="60"/>
      <c r="R229" s="65"/>
      <c r="S229" s="60"/>
      <c r="T229" s="60"/>
      <c r="U229" s="306"/>
      <c r="V229" s="60"/>
      <c r="W229" s="60"/>
      <c r="X229" s="60"/>
      <c r="Y229" s="60"/>
      <c r="Z229" s="60"/>
      <c r="AA229" s="7"/>
      <c r="AB229" s="139"/>
      <c r="AC229" s="139"/>
      <c r="AD229" s="139"/>
      <c r="AE229" s="139"/>
      <c r="AF229" s="200">
        <v>11</v>
      </c>
    </row>
    <row r="230" spans="1:32" s="200" customFormat="1" ht="11.45" customHeight="1">
      <c r="A230" s="569"/>
      <c r="B230" s="65"/>
      <c r="C230" s="65"/>
      <c r="K230" s="60"/>
      <c r="L230" s="65"/>
      <c r="M230" s="65"/>
      <c r="N230" s="60"/>
      <c r="O230" s="60"/>
      <c r="P230" s="60"/>
      <c r="Q230" s="60"/>
      <c r="R230" s="65"/>
      <c r="S230" s="60"/>
      <c r="T230" s="60"/>
      <c r="U230" s="306"/>
      <c r="V230" s="60"/>
      <c r="W230" s="60"/>
      <c r="X230" s="60"/>
      <c r="Y230" s="60"/>
      <c r="Z230" s="60"/>
      <c r="AA230" s="7"/>
      <c r="AB230" s="139"/>
      <c r="AC230" s="139"/>
      <c r="AD230" s="139"/>
      <c r="AE230" s="139"/>
      <c r="AF230" s="200">
        <v>11</v>
      </c>
    </row>
    <row r="231" spans="1:32" s="200" customFormat="1" ht="11.45" customHeight="1">
      <c r="A231" s="569"/>
      <c r="B231" s="65"/>
      <c r="C231" s="65"/>
      <c r="K231" s="60"/>
      <c r="L231" s="65"/>
      <c r="M231" s="65"/>
      <c r="N231" s="60"/>
      <c r="O231" s="60"/>
      <c r="P231" s="60"/>
      <c r="Q231" s="60"/>
      <c r="R231" s="65"/>
      <c r="S231" s="60"/>
      <c r="T231" s="60"/>
      <c r="U231" s="306"/>
      <c r="V231" s="60"/>
      <c r="W231" s="60"/>
      <c r="X231" s="60"/>
      <c r="Y231" s="60"/>
      <c r="Z231" s="60"/>
      <c r="AA231" s="7"/>
      <c r="AB231" s="139"/>
      <c r="AC231" s="139"/>
      <c r="AD231" s="139"/>
      <c r="AE231" s="139"/>
      <c r="AF231" s="200">
        <v>11</v>
      </c>
    </row>
    <row r="232" spans="1:32" s="200" customFormat="1" ht="11.45" customHeight="1">
      <c r="A232" s="569"/>
      <c r="B232" s="65"/>
      <c r="C232" s="65"/>
      <c r="K232" s="60"/>
      <c r="L232" s="65"/>
      <c r="M232" s="65"/>
      <c r="N232" s="60"/>
      <c r="O232" s="60"/>
      <c r="P232" s="60"/>
      <c r="Q232" s="60"/>
      <c r="R232" s="65"/>
      <c r="S232" s="60"/>
      <c r="T232" s="60"/>
      <c r="U232" s="306"/>
      <c r="V232" s="60"/>
      <c r="W232" s="60"/>
      <c r="X232" s="60"/>
      <c r="Y232" s="60"/>
      <c r="Z232" s="60"/>
      <c r="AA232" s="7"/>
      <c r="AB232" s="139"/>
      <c r="AC232" s="139"/>
      <c r="AD232" s="139"/>
      <c r="AE232" s="139"/>
      <c r="AF232" s="200">
        <v>11</v>
      </c>
    </row>
    <row r="233" spans="1:32" s="200" customFormat="1" ht="11.45" customHeight="1">
      <c r="A233" s="569"/>
      <c r="B233" s="65"/>
      <c r="C233" s="65"/>
      <c r="K233" s="60"/>
      <c r="L233" s="65"/>
      <c r="M233" s="65"/>
      <c r="N233" s="60"/>
      <c r="O233" s="60"/>
      <c r="P233" s="60"/>
      <c r="Q233" s="60"/>
      <c r="R233" s="65"/>
      <c r="S233" s="60"/>
      <c r="T233" s="60"/>
      <c r="U233" s="306"/>
      <c r="V233" s="60"/>
      <c r="W233" s="60"/>
      <c r="X233" s="60"/>
      <c r="Y233" s="60"/>
      <c r="Z233" s="60"/>
      <c r="AA233" s="7"/>
      <c r="AB233" s="139"/>
      <c r="AC233" s="139"/>
      <c r="AD233" s="139"/>
      <c r="AE233" s="139"/>
      <c r="AF233" s="200">
        <v>11</v>
      </c>
    </row>
    <row r="234" spans="1:32" s="200" customFormat="1" ht="11.45" customHeight="1">
      <c r="A234" s="569"/>
      <c r="B234" s="65"/>
      <c r="C234" s="65"/>
      <c r="K234" s="60"/>
      <c r="L234" s="65"/>
      <c r="M234" s="65"/>
      <c r="N234" s="60"/>
      <c r="O234" s="60"/>
      <c r="P234" s="60"/>
      <c r="Q234" s="60"/>
      <c r="R234" s="65"/>
      <c r="S234" s="60"/>
      <c r="T234" s="60"/>
      <c r="U234" s="306"/>
      <c r="V234" s="60"/>
      <c r="W234" s="60"/>
      <c r="X234" s="60"/>
      <c r="Y234" s="60"/>
      <c r="Z234" s="60"/>
      <c r="AA234" s="7"/>
      <c r="AB234" s="139"/>
      <c r="AC234" s="139"/>
      <c r="AD234" s="139"/>
      <c r="AE234" s="139"/>
      <c r="AF234" s="200">
        <v>11</v>
      </c>
    </row>
    <row r="235" spans="1:32" s="200" customFormat="1" ht="11.45" customHeight="1">
      <c r="A235" s="569"/>
      <c r="B235" s="65"/>
      <c r="C235" s="65"/>
      <c r="K235" s="60"/>
      <c r="L235" s="65"/>
      <c r="M235" s="65"/>
      <c r="N235" s="60"/>
      <c r="O235" s="60"/>
      <c r="P235" s="60"/>
      <c r="Q235" s="60"/>
      <c r="R235" s="65"/>
      <c r="S235" s="60"/>
      <c r="T235" s="60"/>
      <c r="U235" s="306"/>
      <c r="V235" s="60"/>
      <c r="W235" s="60"/>
      <c r="X235" s="60"/>
      <c r="Y235" s="60"/>
      <c r="Z235" s="60"/>
      <c r="AA235" s="7"/>
      <c r="AB235" s="139"/>
      <c r="AC235" s="139"/>
      <c r="AD235" s="139"/>
      <c r="AE235" s="139"/>
      <c r="AF235" s="200">
        <v>11</v>
      </c>
    </row>
    <row r="236" spans="1:32" s="200" customFormat="1" ht="11.45" customHeight="1">
      <c r="A236" s="569"/>
      <c r="B236" s="65"/>
      <c r="C236" s="65"/>
      <c r="K236" s="60"/>
      <c r="L236" s="65"/>
      <c r="M236" s="65"/>
      <c r="N236" s="60"/>
      <c r="O236" s="60"/>
      <c r="P236" s="60"/>
      <c r="Q236" s="60"/>
      <c r="R236" s="65"/>
      <c r="S236" s="60"/>
      <c r="T236" s="60"/>
      <c r="U236" s="306"/>
      <c r="V236" s="60"/>
      <c r="W236" s="60"/>
      <c r="X236" s="60"/>
      <c r="Y236" s="60"/>
      <c r="Z236" s="60"/>
      <c r="AA236" s="7"/>
      <c r="AB236" s="139"/>
      <c r="AC236" s="139"/>
      <c r="AD236" s="139"/>
      <c r="AE236" s="139"/>
      <c r="AF236" s="200">
        <v>11</v>
      </c>
    </row>
    <row r="237" spans="1:32" s="200" customFormat="1" ht="11.45" customHeight="1">
      <c r="A237" s="569"/>
      <c r="B237" s="65"/>
      <c r="C237" s="65"/>
      <c r="K237" s="60"/>
      <c r="L237" s="65"/>
      <c r="M237" s="65"/>
      <c r="N237" s="60"/>
      <c r="O237" s="60"/>
      <c r="P237" s="60"/>
      <c r="Q237" s="60"/>
      <c r="R237" s="65"/>
      <c r="S237" s="60"/>
      <c r="T237" s="60"/>
      <c r="U237" s="306"/>
      <c r="V237" s="60"/>
      <c r="W237" s="60"/>
      <c r="X237" s="60"/>
      <c r="Y237" s="60"/>
      <c r="Z237" s="60"/>
      <c r="AA237" s="7"/>
      <c r="AB237" s="139"/>
      <c r="AC237" s="139"/>
      <c r="AD237" s="139"/>
      <c r="AE237" s="139"/>
      <c r="AF237" s="200">
        <v>11</v>
      </c>
    </row>
    <row r="238" spans="1:32" s="200" customFormat="1" ht="11.45" customHeight="1">
      <c r="A238" s="569"/>
      <c r="B238" s="65"/>
      <c r="C238" s="65"/>
      <c r="K238" s="60"/>
      <c r="L238" s="65"/>
      <c r="M238" s="65"/>
      <c r="N238" s="60"/>
      <c r="O238" s="60"/>
      <c r="P238" s="60"/>
      <c r="Q238" s="60"/>
      <c r="R238" s="65"/>
      <c r="S238" s="60"/>
      <c r="T238" s="60"/>
      <c r="U238" s="306"/>
      <c r="V238" s="60"/>
      <c r="W238" s="60"/>
      <c r="X238" s="60"/>
      <c r="Y238" s="60"/>
      <c r="Z238" s="60"/>
      <c r="AA238" s="7"/>
      <c r="AB238" s="139"/>
      <c r="AC238" s="139"/>
      <c r="AD238" s="139"/>
      <c r="AE238" s="139"/>
      <c r="AF238" s="200">
        <v>11</v>
      </c>
    </row>
    <row r="239" spans="1:32" s="200" customFormat="1" ht="11.45" customHeight="1">
      <c r="A239" s="569"/>
      <c r="B239" s="65"/>
      <c r="C239" s="65"/>
      <c r="K239" s="60"/>
      <c r="L239" s="65"/>
      <c r="M239" s="65"/>
      <c r="N239" s="60"/>
      <c r="O239" s="60"/>
      <c r="P239" s="60"/>
      <c r="Q239" s="60"/>
      <c r="R239" s="65"/>
      <c r="S239" s="60"/>
      <c r="T239" s="60"/>
      <c r="U239" s="306"/>
      <c r="V239" s="60"/>
      <c r="W239" s="60"/>
      <c r="X239" s="60"/>
      <c r="Y239" s="60"/>
      <c r="Z239" s="60"/>
      <c r="AA239" s="7"/>
      <c r="AB239" s="139"/>
      <c r="AC239" s="139"/>
      <c r="AD239" s="139"/>
      <c r="AE239" s="139"/>
      <c r="AF239" s="200">
        <v>11</v>
      </c>
    </row>
    <row r="240" spans="1:32" s="200" customFormat="1" ht="11.45" customHeight="1">
      <c r="A240" s="569"/>
      <c r="B240" s="65"/>
      <c r="C240" s="65"/>
      <c r="K240" s="60"/>
      <c r="L240" s="65"/>
      <c r="M240" s="65"/>
      <c r="N240" s="60"/>
      <c r="O240" s="60"/>
      <c r="P240" s="60"/>
      <c r="Q240" s="60"/>
      <c r="R240" s="65"/>
      <c r="S240" s="60"/>
      <c r="T240" s="60"/>
      <c r="U240" s="306"/>
      <c r="V240" s="60"/>
      <c r="W240" s="60"/>
      <c r="X240" s="60"/>
      <c r="Y240" s="60"/>
      <c r="Z240" s="60"/>
      <c r="AA240" s="7"/>
      <c r="AB240" s="139"/>
      <c r="AC240" s="139"/>
      <c r="AD240" s="139"/>
      <c r="AE240" s="139"/>
      <c r="AF240" s="200">
        <v>11</v>
      </c>
    </row>
    <row r="241" spans="1:32" s="200" customFormat="1" ht="11.45" customHeight="1">
      <c r="A241" s="569"/>
      <c r="B241" s="65"/>
      <c r="C241" s="65"/>
      <c r="K241" s="60"/>
      <c r="L241" s="65"/>
      <c r="M241" s="65"/>
      <c r="N241" s="60"/>
      <c r="O241" s="60"/>
      <c r="P241" s="60"/>
      <c r="Q241" s="60"/>
      <c r="R241" s="65"/>
      <c r="S241" s="60"/>
      <c r="T241" s="60"/>
      <c r="U241" s="306"/>
      <c r="V241" s="60"/>
      <c r="W241" s="60"/>
      <c r="X241" s="60"/>
      <c r="Y241" s="60"/>
      <c r="Z241" s="60"/>
      <c r="AA241" s="7"/>
      <c r="AB241" s="139"/>
      <c r="AC241" s="139"/>
      <c r="AD241" s="139"/>
      <c r="AE241" s="139"/>
      <c r="AF241" s="200">
        <v>11</v>
      </c>
    </row>
    <row r="242" spans="1:32" s="200" customFormat="1" ht="11.45" customHeight="1">
      <c r="A242" s="569"/>
      <c r="B242" s="65"/>
      <c r="C242" s="65"/>
      <c r="K242" s="60"/>
      <c r="L242" s="65"/>
      <c r="M242" s="65"/>
      <c r="N242" s="60"/>
      <c r="O242" s="60"/>
      <c r="P242" s="60"/>
      <c r="Q242" s="60"/>
      <c r="R242" s="65"/>
      <c r="S242" s="60"/>
      <c r="T242" s="60"/>
      <c r="U242" s="306"/>
      <c r="V242" s="60"/>
      <c r="W242" s="60"/>
      <c r="X242" s="60"/>
      <c r="Y242" s="60"/>
      <c r="Z242" s="60"/>
      <c r="AA242" s="7"/>
      <c r="AB242" s="139"/>
      <c r="AC242" s="139"/>
      <c r="AD242" s="139"/>
      <c r="AE242" s="139"/>
      <c r="AF242" s="200">
        <v>11</v>
      </c>
    </row>
    <row r="243" spans="1:32" s="200" customFormat="1" ht="11.45" customHeight="1">
      <c r="A243" s="569"/>
      <c r="B243" s="65"/>
      <c r="C243" s="65"/>
      <c r="K243" s="60"/>
      <c r="L243" s="65"/>
      <c r="M243" s="65"/>
      <c r="N243" s="60"/>
      <c r="O243" s="60"/>
      <c r="P243" s="60"/>
      <c r="Q243" s="60"/>
      <c r="R243" s="65"/>
      <c r="S243" s="60"/>
      <c r="T243" s="60"/>
      <c r="U243" s="306"/>
      <c r="V243" s="60"/>
      <c r="W243" s="60"/>
      <c r="X243" s="60"/>
      <c r="Y243" s="60"/>
      <c r="Z243" s="60"/>
      <c r="AA243" s="7"/>
      <c r="AB243" s="139"/>
      <c r="AC243" s="139"/>
      <c r="AD243" s="139"/>
      <c r="AE243" s="139"/>
      <c r="AF243" s="200">
        <v>11</v>
      </c>
    </row>
    <row r="244" spans="1:32" s="200" customFormat="1" ht="11.45" customHeight="1">
      <c r="A244" s="569"/>
      <c r="B244" s="65"/>
      <c r="C244" s="65"/>
      <c r="K244" s="60"/>
      <c r="L244" s="65"/>
      <c r="M244" s="65"/>
      <c r="N244" s="60"/>
      <c r="O244" s="60"/>
      <c r="P244" s="60"/>
      <c r="Q244" s="60"/>
      <c r="R244" s="65"/>
      <c r="S244" s="60"/>
      <c r="T244" s="60"/>
      <c r="U244" s="306"/>
      <c r="V244" s="60"/>
      <c r="W244" s="60"/>
      <c r="X244" s="60"/>
      <c r="Y244" s="60"/>
      <c r="Z244" s="60"/>
      <c r="AA244" s="7"/>
      <c r="AB244" s="139"/>
      <c r="AC244" s="139"/>
      <c r="AD244" s="139"/>
      <c r="AE244" s="139"/>
      <c r="AF244" s="200">
        <v>11</v>
      </c>
    </row>
    <row r="245" spans="1:32" s="200" customFormat="1" ht="11.45" customHeight="1">
      <c r="A245" s="569"/>
      <c r="B245" s="65"/>
      <c r="C245" s="65"/>
      <c r="K245" s="60"/>
      <c r="L245" s="65"/>
      <c r="M245" s="65"/>
      <c r="N245" s="60"/>
      <c r="O245" s="60"/>
      <c r="P245" s="60"/>
      <c r="Q245" s="60"/>
      <c r="R245" s="65"/>
      <c r="S245" s="60"/>
      <c r="T245" s="60"/>
      <c r="U245" s="306"/>
      <c r="V245" s="60"/>
      <c r="W245" s="60"/>
      <c r="X245" s="60"/>
      <c r="Y245" s="60"/>
      <c r="Z245" s="60"/>
      <c r="AA245" s="7"/>
      <c r="AB245" s="139"/>
      <c r="AC245" s="139"/>
      <c r="AD245" s="139"/>
      <c r="AE245" s="139"/>
      <c r="AF245" s="200">
        <v>11</v>
      </c>
    </row>
    <row r="246" spans="1:32" s="200" customFormat="1" ht="11.45" customHeight="1">
      <c r="A246" s="569"/>
      <c r="B246" s="65"/>
      <c r="C246" s="65"/>
      <c r="K246" s="60"/>
      <c r="L246" s="65"/>
      <c r="M246" s="65"/>
      <c r="N246" s="60"/>
      <c r="O246" s="60"/>
      <c r="P246" s="60"/>
      <c r="Q246" s="60"/>
      <c r="R246" s="65"/>
      <c r="S246" s="60"/>
      <c r="T246" s="60"/>
      <c r="U246" s="306"/>
      <c r="V246" s="60"/>
      <c r="W246" s="60"/>
      <c r="X246" s="60"/>
      <c r="Y246" s="60"/>
      <c r="Z246" s="60"/>
      <c r="AA246" s="7"/>
      <c r="AB246" s="139"/>
      <c r="AC246" s="139"/>
      <c r="AD246" s="139"/>
      <c r="AE246" s="139"/>
      <c r="AF246" s="200">
        <v>11</v>
      </c>
    </row>
    <row r="247" spans="1:32" s="200" customFormat="1" ht="11.45" customHeight="1">
      <c r="A247" s="569"/>
      <c r="B247" s="65"/>
      <c r="C247" s="65"/>
      <c r="K247" s="60"/>
      <c r="L247" s="65"/>
      <c r="M247" s="65"/>
      <c r="N247" s="60"/>
      <c r="O247" s="60"/>
      <c r="P247" s="60"/>
      <c r="Q247" s="60"/>
      <c r="R247" s="65"/>
      <c r="S247" s="60"/>
      <c r="T247" s="60"/>
      <c r="U247" s="306"/>
      <c r="V247" s="60"/>
      <c r="W247" s="60"/>
      <c r="X247" s="60"/>
      <c r="Y247" s="60"/>
      <c r="Z247" s="60"/>
      <c r="AA247" s="7"/>
      <c r="AB247" s="139"/>
      <c r="AC247" s="139"/>
      <c r="AD247" s="139"/>
      <c r="AE247" s="139"/>
      <c r="AF247" s="200">
        <v>11</v>
      </c>
    </row>
    <row r="248" spans="1:32" s="200" customFormat="1" ht="11.45" customHeight="1">
      <c r="A248" s="569"/>
      <c r="B248" s="65"/>
      <c r="C248" s="65"/>
      <c r="K248" s="60"/>
      <c r="L248" s="65"/>
      <c r="M248" s="65"/>
      <c r="N248" s="60"/>
      <c r="O248" s="60"/>
      <c r="P248" s="60"/>
      <c r="Q248" s="60"/>
      <c r="R248" s="65"/>
      <c r="S248" s="60"/>
      <c r="T248" s="60"/>
      <c r="U248" s="306"/>
      <c r="V248" s="60"/>
      <c r="W248" s="60"/>
      <c r="X248" s="60"/>
      <c r="Y248" s="60"/>
      <c r="Z248" s="60"/>
      <c r="AA248" s="7"/>
      <c r="AB248" s="139"/>
      <c r="AC248" s="139"/>
      <c r="AD248" s="139"/>
      <c r="AE248" s="139"/>
      <c r="AF248" s="200">
        <v>11</v>
      </c>
    </row>
    <row r="249" spans="1:32" s="200" customFormat="1" ht="11.45" customHeight="1">
      <c r="A249" s="569"/>
      <c r="B249" s="65"/>
      <c r="C249" s="65"/>
      <c r="K249" s="60"/>
      <c r="L249" s="65"/>
      <c r="M249" s="65"/>
      <c r="N249" s="60"/>
      <c r="O249" s="60"/>
      <c r="P249" s="60"/>
      <c r="Q249" s="60"/>
      <c r="R249" s="65"/>
      <c r="S249" s="60"/>
      <c r="T249" s="60"/>
      <c r="U249" s="306"/>
      <c r="V249" s="60"/>
      <c r="W249" s="60"/>
      <c r="X249" s="60"/>
      <c r="Y249" s="60"/>
      <c r="Z249" s="60"/>
      <c r="AA249" s="7"/>
      <c r="AB249" s="139"/>
      <c r="AC249" s="139"/>
      <c r="AD249" s="139"/>
      <c r="AE249" s="139"/>
      <c r="AF249" s="200">
        <v>11</v>
      </c>
    </row>
    <row r="250" spans="1:32" s="200" customFormat="1" ht="11.45" customHeight="1">
      <c r="A250" s="569"/>
      <c r="B250" s="65"/>
      <c r="C250" s="65"/>
      <c r="K250" s="60"/>
      <c r="L250" s="65"/>
      <c r="M250" s="65"/>
      <c r="N250" s="60"/>
      <c r="O250" s="60"/>
      <c r="P250" s="60"/>
      <c r="Q250" s="60"/>
      <c r="R250" s="65"/>
      <c r="S250" s="60"/>
      <c r="T250" s="60"/>
      <c r="U250" s="306"/>
      <c r="V250" s="60"/>
      <c r="W250" s="60"/>
      <c r="X250" s="60"/>
      <c r="Y250" s="60"/>
      <c r="Z250" s="60"/>
      <c r="AA250" s="7"/>
      <c r="AB250" s="139"/>
      <c r="AC250" s="139"/>
      <c r="AD250" s="139"/>
      <c r="AE250" s="139"/>
      <c r="AF250" s="200">
        <v>11</v>
      </c>
    </row>
    <row r="251" spans="1:32" s="200" customFormat="1" ht="11.45" customHeight="1">
      <c r="A251" s="569"/>
      <c r="B251" s="65"/>
      <c r="C251" s="65"/>
      <c r="K251" s="60"/>
      <c r="L251" s="65"/>
      <c r="M251" s="65"/>
      <c r="N251" s="60"/>
      <c r="O251" s="60"/>
      <c r="P251" s="60"/>
      <c r="Q251" s="60"/>
      <c r="R251" s="65"/>
      <c r="S251" s="60"/>
      <c r="T251" s="60"/>
      <c r="U251" s="306"/>
      <c r="V251" s="60"/>
      <c r="W251" s="60"/>
      <c r="X251" s="60"/>
      <c r="Y251" s="60"/>
      <c r="Z251" s="60"/>
      <c r="AA251" s="7"/>
      <c r="AB251" s="139"/>
      <c r="AC251" s="139"/>
      <c r="AD251" s="139"/>
      <c r="AE251" s="139"/>
      <c r="AF251" s="200">
        <v>11</v>
      </c>
    </row>
    <row r="252" spans="1:32" s="200" customFormat="1" ht="11.45" customHeight="1">
      <c r="A252" s="569"/>
      <c r="B252" s="65"/>
      <c r="C252" s="65"/>
      <c r="K252" s="60"/>
      <c r="L252" s="65"/>
      <c r="M252" s="65"/>
      <c r="N252" s="60"/>
      <c r="O252" s="60"/>
      <c r="P252" s="60"/>
      <c r="Q252" s="60"/>
      <c r="R252" s="65"/>
      <c r="S252" s="60"/>
      <c r="T252" s="60"/>
      <c r="U252" s="306"/>
      <c r="V252" s="60"/>
      <c r="W252" s="60"/>
      <c r="X252" s="60"/>
      <c r="Y252" s="60"/>
      <c r="Z252" s="60"/>
      <c r="AA252" s="7"/>
      <c r="AB252" s="139"/>
      <c r="AC252" s="139"/>
      <c r="AD252" s="139"/>
      <c r="AE252" s="139"/>
      <c r="AF252" s="200">
        <v>11</v>
      </c>
    </row>
    <row r="253" spans="1:32" s="200" customFormat="1" ht="11.45" customHeight="1">
      <c r="A253" s="569"/>
      <c r="B253" s="65"/>
      <c r="C253" s="65"/>
      <c r="K253" s="60"/>
      <c r="L253" s="65"/>
      <c r="M253" s="65"/>
      <c r="N253" s="60"/>
      <c r="O253" s="60"/>
      <c r="P253" s="60"/>
      <c r="Q253" s="60"/>
      <c r="R253" s="65"/>
      <c r="S253" s="60"/>
      <c r="T253" s="60"/>
      <c r="U253" s="306"/>
      <c r="V253" s="60"/>
      <c r="W253" s="60"/>
      <c r="X253" s="60"/>
      <c r="Y253" s="60"/>
      <c r="Z253" s="60"/>
      <c r="AA253" s="7"/>
      <c r="AB253" s="139"/>
      <c r="AC253" s="139"/>
      <c r="AD253" s="139"/>
      <c r="AE253" s="139"/>
      <c r="AF253" s="200">
        <v>11</v>
      </c>
    </row>
    <row r="254" spans="1:32" s="200" customFormat="1" ht="11.45" customHeight="1">
      <c r="A254" s="569"/>
      <c r="B254" s="65"/>
      <c r="C254" s="65"/>
      <c r="K254" s="60"/>
      <c r="L254" s="65"/>
      <c r="M254" s="65"/>
      <c r="N254" s="60"/>
      <c r="O254" s="60"/>
      <c r="P254" s="60"/>
      <c r="Q254" s="60"/>
      <c r="R254" s="65"/>
      <c r="S254" s="60"/>
      <c r="T254" s="60"/>
      <c r="U254" s="306"/>
      <c r="V254" s="60"/>
      <c r="W254" s="60"/>
      <c r="X254" s="60"/>
      <c r="Y254" s="60"/>
      <c r="Z254" s="60"/>
      <c r="AA254" s="7"/>
      <c r="AB254" s="139"/>
      <c r="AC254" s="139"/>
      <c r="AD254" s="139"/>
      <c r="AE254" s="139"/>
      <c r="AF254" s="200">
        <v>11</v>
      </c>
    </row>
    <row r="255" spans="1:32" s="200" customFormat="1" ht="11.45" customHeight="1">
      <c r="A255" s="569"/>
      <c r="B255" s="65"/>
      <c r="C255" s="65"/>
      <c r="K255" s="60"/>
      <c r="L255" s="65"/>
      <c r="M255" s="65"/>
      <c r="N255" s="60"/>
      <c r="O255" s="60"/>
      <c r="P255" s="60"/>
      <c r="Q255" s="60"/>
      <c r="R255" s="65"/>
      <c r="S255" s="60"/>
      <c r="T255" s="60"/>
      <c r="U255" s="306"/>
      <c r="V255" s="60"/>
      <c r="W255" s="60"/>
      <c r="X255" s="60"/>
      <c r="Y255" s="60"/>
      <c r="Z255" s="60"/>
      <c r="AA255" s="7"/>
      <c r="AB255" s="139"/>
      <c r="AC255" s="139"/>
      <c r="AD255" s="139"/>
      <c r="AE255" s="139"/>
      <c r="AF255" s="200">
        <v>11</v>
      </c>
    </row>
    <row r="256" spans="1:32" s="200" customFormat="1" ht="11.45" customHeight="1">
      <c r="A256" s="569"/>
      <c r="B256" s="65"/>
      <c r="C256" s="65"/>
      <c r="K256" s="60"/>
      <c r="L256" s="65"/>
      <c r="M256" s="65"/>
      <c r="N256" s="60"/>
      <c r="O256" s="60"/>
      <c r="P256" s="60"/>
      <c r="Q256" s="60"/>
      <c r="R256" s="65"/>
      <c r="S256" s="60"/>
      <c r="T256" s="60"/>
      <c r="U256" s="306"/>
      <c r="V256" s="60"/>
      <c r="W256" s="60"/>
      <c r="X256" s="60"/>
      <c r="Y256" s="60"/>
      <c r="Z256" s="60"/>
      <c r="AA256" s="7"/>
      <c r="AB256" s="139"/>
      <c r="AC256" s="139"/>
      <c r="AD256" s="139"/>
      <c r="AE256" s="139"/>
      <c r="AF256" s="200">
        <v>11</v>
      </c>
    </row>
    <row r="257" spans="1:32" s="200" customFormat="1" ht="11.45" customHeight="1">
      <c r="A257" s="569"/>
      <c r="B257" s="65"/>
      <c r="C257" s="65"/>
      <c r="K257" s="60"/>
      <c r="L257" s="65"/>
      <c r="M257" s="65"/>
      <c r="N257" s="60"/>
      <c r="O257" s="60"/>
      <c r="P257" s="60"/>
      <c r="Q257" s="60"/>
      <c r="R257" s="65"/>
      <c r="S257" s="60"/>
      <c r="T257" s="60"/>
      <c r="U257" s="306"/>
      <c r="V257" s="60"/>
      <c r="W257" s="60"/>
      <c r="X257" s="60"/>
      <c r="Y257" s="60"/>
      <c r="Z257" s="60"/>
      <c r="AA257" s="7"/>
      <c r="AB257" s="139"/>
      <c r="AC257" s="139"/>
      <c r="AD257" s="139"/>
      <c r="AE257" s="139"/>
      <c r="AF257" s="200">
        <v>11</v>
      </c>
    </row>
    <row r="258" spans="1:32" s="200" customFormat="1" ht="11.45" customHeight="1">
      <c r="A258" s="569"/>
      <c r="B258" s="65"/>
      <c r="C258" s="65"/>
      <c r="K258" s="60"/>
      <c r="L258" s="65"/>
      <c r="M258" s="65"/>
      <c r="N258" s="60"/>
      <c r="O258" s="60"/>
      <c r="P258" s="60"/>
      <c r="Q258" s="60"/>
      <c r="R258" s="65"/>
      <c r="S258" s="60"/>
      <c r="T258" s="60"/>
      <c r="U258" s="306"/>
      <c r="V258" s="60"/>
      <c r="W258" s="60"/>
      <c r="X258" s="60"/>
      <c r="Y258" s="60"/>
      <c r="Z258" s="60"/>
      <c r="AA258" s="7"/>
      <c r="AB258" s="139"/>
      <c r="AC258" s="139"/>
      <c r="AD258" s="139"/>
      <c r="AE258" s="139"/>
      <c r="AF258" s="200">
        <v>11</v>
      </c>
    </row>
    <row r="259" spans="1:32" s="200" customFormat="1" ht="11.45" customHeight="1">
      <c r="A259" s="569"/>
      <c r="B259" s="65"/>
      <c r="C259" s="65"/>
      <c r="K259" s="60"/>
      <c r="L259" s="65"/>
      <c r="M259" s="65"/>
      <c r="N259" s="60"/>
      <c r="O259" s="60"/>
      <c r="P259" s="60"/>
      <c r="Q259" s="60"/>
      <c r="R259" s="65"/>
      <c r="S259" s="60"/>
      <c r="T259" s="60"/>
      <c r="U259" s="306"/>
      <c r="V259" s="60"/>
      <c r="W259" s="60"/>
      <c r="X259" s="60"/>
      <c r="Y259" s="60"/>
      <c r="Z259" s="60"/>
      <c r="AA259" s="7"/>
      <c r="AB259" s="139"/>
      <c r="AC259" s="139"/>
      <c r="AD259" s="139"/>
      <c r="AE259" s="139"/>
      <c r="AF259" s="200">
        <v>11</v>
      </c>
    </row>
    <row r="260" spans="1:32" s="200" customFormat="1" ht="11.45" customHeight="1">
      <c r="A260" s="569"/>
      <c r="B260" s="65"/>
      <c r="C260" s="65"/>
      <c r="K260" s="60"/>
      <c r="L260" s="65"/>
      <c r="M260" s="65"/>
      <c r="N260" s="60"/>
      <c r="O260" s="60"/>
      <c r="P260" s="60"/>
      <c r="Q260" s="60"/>
      <c r="R260" s="65"/>
      <c r="S260" s="60"/>
      <c r="T260" s="60"/>
      <c r="U260" s="306"/>
      <c r="V260" s="60"/>
      <c r="W260" s="60"/>
      <c r="X260" s="60"/>
      <c r="Y260" s="60"/>
      <c r="Z260" s="60"/>
      <c r="AA260" s="7"/>
      <c r="AB260" s="139"/>
      <c r="AC260" s="139"/>
      <c r="AD260" s="139"/>
      <c r="AE260" s="139"/>
      <c r="AF260" s="200">
        <v>11</v>
      </c>
    </row>
    <row r="261" spans="1:32" s="200" customFormat="1" ht="11.45" customHeight="1">
      <c r="A261" s="569"/>
      <c r="B261" s="65"/>
      <c r="C261" s="65"/>
      <c r="K261" s="60"/>
      <c r="L261" s="65"/>
      <c r="M261" s="65"/>
      <c r="N261" s="60"/>
      <c r="O261" s="60"/>
      <c r="P261" s="60"/>
      <c r="Q261" s="60"/>
      <c r="R261" s="65"/>
      <c r="S261" s="60"/>
      <c r="T261" s="60"/>
      <c r="U261" s="306"/>
      <c r="V261" s="60"/>
      <c r="W261" s="60"/>
      <c r="X261" s="60"/>
      <c r="Y261" s="60"/>
      <c r="Z261" s="60"/>
      <c r="AA261" s="7"/>
      <c r="AB261" s="139"/>
      <c r="AC261" s="139"/>
      <c r="AD261" s="139"/>
      <c r="AE261" s="139"/>
      <c r="AF261" s="200">
        <v>11</v>
      </c>
    </row>
    <row r="262" spans="1:32" s="200" customFormat="1" ht="11.45" customHeight="1">
      <c r="A262" s="569"/>
      <c r="B262" s="65"/>
      <c r="C262" s="65"/>
      <c r="K262" s="60"/>
      <c r="L262" s="65"/>
      <c r="M262" s="65"/>
      <c r="N262" s="60"/>
      <c r="O262" s="60"/>
      <c r="P262" s="60"/>
      <c r="Q262" s="60"/>
      <c r="R262" s="65"/>
      <c r="S262" s="60"/>
      <c r="T262" s="60"/>
      <c r="U262" s="306"/>
      <c r="V262" s="60"/>
      <c r="W262" s="60"/>
      <c r="X262" s="60"/>
      <c r="Y262" s="60"/>
      <c r="Z262" s="60"/>
      <c r="AA262" s="7"/>
      <c r="AB262" s="139"/>
      <c r="AC262" s="139"/>
      <c r="AD262" s="139"/>
      <c r="AE262" s="139"/>
      <c r="AF262" s="200">
        <v>11</v>
      </c>
    </row>
    <row r="263" spans="1:32" s="200" customFormat="1" ht="11.45" customHeight="1">
      <c r="A263" s="569"/>
      <c r="B263" s="65"/>
      <c r="C263" s="65"/>
      <c r="K263" s="60"/>
      <c r="L263" s="65"/>
      <c r="M263" s="65"/>
      <c r="N263" s="60"/>
      <c r="O263" s="60"/>
      <c r="P263" s="60"/>
      <c r="Q263" s="60"/>
      <c r="R263" s="65"/>
      <c r="S263" s="60"/>
      <c r="T263" s="60"/>
      <c r="U263" s="306"/>
      <c r="V263" s="60"/>
      <c r="W263" s="60"/>
      <c r="X263" s="60"/>
      <c r="Y263" s="60"/>
      <c r="Z263" s="60"/>
      <c r="AA263" s="7"/>
      <c r="AB263" s="139"/>
      <c r="AC263" s="139"/>
      <c r="AD263" s="139"/>
      <c r="AE263" s="139"/>
      <c r="AF263" s="200">
        <v>11</v>
      </c>
    </row>
    <row r="264" spans="1:32" s="200" customFormat="1" ht="11.45" customHeight="1">
      <c r="A264" s="569"/>
      <c r="B264" s="65"/>
      <c r="C264" s="65"/>
      <c r="K264" s="60"/>
      <c r="L264" s="65"/>
      <c r="M264" s="65"/>
      <c r="N264" s="60"/>
      <c r="O264" s="60"/>
      <c r="P264" s="60"/>
      <c r="Q264" s="60"/>
      <c r="R264" s="65"/>
      <c r="S264" s="60"/>
      <c r="T264" s="60"/>
      <c r="U264" s="306"/>
      <c r="V264" s="60"/>
      <c r="W264" s="60"/>
      <c r="X264" s="60"/>
      <c r="Y264" s="60"/>
      <c r="Z264" s="60"/>
      <c r="AA264" s="7"/>
      <c r="AB264" s="139"/>
      <c r="AC264" s="139"/>
      <c r="AD264" s="139"/>
      <c r="AE264" s="139"/>
      <c r="AF264" s="200">
        <v>11</v>
      </c>
    </row>
    <row r="265" spans="1:32" s="200" customFormat="1" ht="11.45" customHeight="1">
      <c r="A265" s="569"/>
      <c r="B265" s="65"/>
      <c r="C265" s="65"/>
      <c r="K265" s="60"/>
      <c r="L265" s="65"/>
      <c r="M265" s="65"/>
      <c r="N265" s="60"/>
      <c r="O265" s="60"/>
      <c r="P265" s="60"/>
      <c r="Q265" s="60"/>
      <c r="R265" s="65"/>
      <c r="S265" s="60"/>
      <c r="T265" s="60"/>
      <c r="U265" s="306"/>
      <c r="V265" s="60"/>
      <c r="W265" s="60"/>
      <c r="X265" s="60"/>
      <c r="Y265" s="60"/>
      <c r="Z265" s="60"/>
      <c r="AA265" s="7"/>
      <c r="AB265" s="139"/>
      <c r="AC265" s="139"/>
      <c r="AD265" s="139"/>
      <c r="AE265" s="139"/>
      <c r="AF265" s="200">
        <v>11</v>
      </c>
    </row>
    <row r="266" spans="1:32" s="200" customFormat="1" ht="11.45" customHeight="1">
      <c r="A266" s="569"/>
      <c r="B266" s="65"/>
      <c r="C266" s="65"/>
      <c r="K266" s="60"/>
      <c r="L266" s="65"/>
      <c r="M266" s="65"/>
      <c r="N266" s="60"/>
      <c r="O266" s="60"/>
      <c r="P266" s="60"/>
      <c r="Q266" s="60"/>
      <c r="R266" s="65"/>
      <c r="S266" s="60"/>
      <c r="T266" s="60"/>
      <c r="U266" s="306"/>
      <c r="V266" s="60"/>
      <c r="W266" s="60"/>
      <c r="X266" s="60"/>
      <c r="Y266" s="60"/>
      <c r="Z266" s="60"/>
      <c r="AA266" s="7"/>
      <c r="AB266" s="139"/>
      <c r="AC266" s="139"/>
      <c r="AD266" s="139"/>
      <c r="AE266" s="139"/>
      <c r="AF266" s="200">
        <v>11</v>
      </c>
    </row>
    <row r="267" spans="1:32" s="200" customFormat="1" ht="11.45" customHeight="1">
      <c r="A267" s="569"/>
      <c r="B267" s="65"/>
      <c r="C267" s="65"/>
      <c r="K267" s="60"/>
      <c r="L267" s="65"/>
      <c r="M267" s="65"/>
      <c r="N267" s="60"/>
      <c r="O267" s="60"/>
      <c r="P267" s="60"/>
      <c r="Q267" s="60"/>
      <c r="R267" s="65"/>
      <c r="S267" s="60"/>
      <c r="T267" s="60"/>
      <c r="U267" s="306"/>
      <c r="V267" s="60"/>
      <c r="W267" s="60"/>
      <c r="X267" s="60"/>
      <c r="Y267" s="60"/>
      <c r="Z267" s="60"/>
      <c r="AA267" s="7"/>
      <c r="AB267" s="139"/>
      <c r="AC267" s="139"/>
      <c r="AD267" s="139"/>
      <c r="AE267" s="139"/>
      <c r="AF267" s="200">
        <v>11</v>
      </c>
    </row>
    <row r="268" spans="1:32" s="200" customFormat="1" ht="11.45" customHeight="1">
      <c r="A268" s="569"/>
      <c r="B268" s="65"/>
      <c r="C268" s="65"/>
      <c r="K268" s="60"/>
      <c r="L268" s="65"/>
      <c r="M268" s="65"/>
      <c r="N268" s="60"/>
      <c r="O268" s="60"/>
      <c r="P268" s="60"/>
      <c r="Q268" s="60"/>
      <c r="R268" s="65"/>
      <c r="S268" s="60"/>
      <c r="T268" s="60"/>
      <c r="U268" s="306"/>
      <c r="V268" s="60"/>
      <c r="W268" s="60"/>
      <c r="X268" s="60"/>
      <c r="Y268" s="60"/>
      <c r="Z268" s="60"/>
      <c r="AA268" s="7"/>
      <c r="AB268" s="139"/>
      <c r="AC268" s="139"/>
      <c r="AD268" s="139"/>
      <c r="AE268" s="139"/>
      <c r="AF268" s="200">
        <v>11</v>
      </c>
    </row>
    <row r="269" spans="1:32" s="200" customFormat="1" ht="11.45" customHeight="1">
      <c r="A269" s="569"/>
      <c r="B269" s="65"/>
      <c r="C269" s="65"/>
      <c r="K269" s="60"/>
      <c r="L269" s="65"/>
      <c r="M269" s="65"/>
      <c r="N269" s="60"/>
      <c r="O269" s="60"/>
      <c r="P269" s="60"/>
      <c r="Q269" s="60"/>
      <c r="R269" s="65"/>
      <c r="S269" s="60"/>
      <c r="T269" s="60"/>
      <c r="U269" s="306"/>
      <c r="V269" s="60"/>
      <c r="W269" s="60"/>
      <c r="X269" s="60"/>
      <c r="Y269" s="60"/>
      <c r="Z269" s="60"/>
      <c r="AA269" s="7"/>
      <c r="AB269" s="139"/>
      <c r="AC269" s="139"/>
      <c r="AD269" s="139"/>
      <c r="AE269" s="139"/>
      <c r="AF269" s="200">
        <v>11</v>
      </c>
    </row>
    <row r="270" spans="1:32" s="200" customFormat="1" ht="11.45" customHeight="1">
      <c r="A270" s="569"/>
      <c r="B270" s="65"/>
      <c r="C270" s="65"/>
      <c r="K270" s="60"/>
      <c r="L270" s="65"/>
      <c r="M270" s="65"/>
      <c r="N270" s="60"/>
      <c r="O270" s="60"/>
      <c r="P270" s="60"/>
      <c r="Q270" s="60"/>
      <c r="R270" s="65"/>
      <c r="S270" s="60"/>
      <c r="T270" s="60"/>
      <c r="U270" s="306"/>
      <c r="V270" s="60"/>
      <c r="W270" s="60"/>
      <c r="X270" s="60"/>
      <c r="Y270" s="60"/>
      <c r="Z270" s="60"/>
      <c r="AA270" s="7"/>
      <c r="AB270" s="139"/>
      <c r="AC270" s="139"/>
      <c r="AD270" s="139"/>
      <c r="AE270" s="139"/>
      <c r="AF270" s="200">
        <v>11</v>
      </c>
    </row>
    <row r="271" spans="1:32" s="200" customFormat="1" ht="11.45" customHeight="1">
      <c r="A271" s="569"/>
      <c r="B271" s="65"/>
      <c r="C271" s="65"/>
      <c r="K271" s="60"/>
      <c r="L271" s="65"/>
      <c r="M271" s="65"/>
      <c r="N271" s="60"/>
      <c r="O271" s="60"/>
      <c r="P271" s="60"/>
      <c r="Q271" s="60"/>
      <c r="R271" s="65"/>
      <c r="S271" s="60"/>
      <c r="T271" s="60"/>
      <c r="U271" s="306"/>
      <c r="V271" s="60"/>
      <c r="W271" s="60"/>
      <c r="X271" s="60"/>
      <c r="Y271" s="60"/>
      <c r="Z271" s="60"/>
      <c r="AA271" s="7"/>
      <c r="AB271" s="139"/>
      <c r="AC271" s="139"/>
      <c r="AD271" s="139"/>
      <c r="AE271" s="139"/>
      <c r="AF271" s="200">
        <v>11</v>
      </c>
    </row>
    <row r="272" spans="1:32" s="200" customFormat="1" ht="11.45" customHeight="1">
      <c r="A272" s="569"/>
      <c r="B272" s="65"/>
      <c r="C272" s="65"/>
      <c r="K272" s="60"/>
      <c r="L272" s="65"/>
      <c r="M272" s="65"/>
      <c r="N272" s="60"/>
      <c r="O272" s="60"/>
      <c r="P272" s="60"/>
      <c r="Q272" s="60"/>
      <c r="R272" s="65"/>
      <c r="S272" s="60"/>
      <c r="T272" s="60"/>
      <c r="U272" s="306"/>
      <c r="V272" s="60"/>
      <c r="W272" s="60"/>
      <c r="X272" s="60"/>
      <c r="Y272" s="60"/>
      <c r="Z272" s="60"/>
      <c r="AA272" s="7"/>
      <c r="AB272" s="139"/>
      <c r="AC272" s="139"/>
      <c r="AD272" s="139"/>
      <c r="AE272" s="139"/>
      <c r="AF272" s="200">
        <v>11</v>
      </c>
    </row>
    <row r="273" spans="1:32" s="200" customFormat="1" ht="11.45" customHeight="1">
      <c r="A273" s="569"/>
      <c r="B273" s="65"/>
      <c r="C273" s="65"/>
      <c r="K273" s="60"/>
      <c r="L273" s="65"/>
      <c r="M273" s="65"/>
      <c r="N273" s="60"/>
      <c r="O273" s="60"/>
      <c r="P273" s="60"/>
      <c r="Q273" s="60"/>
      <c r="R273" s="65"/>
      <c r="S273" s="60"/>
      <c r="T273" s="60"/>
      <c r="U273" s="306"/>
      <c r="V273" s="60"/>
      <c r="W273" s="60"/>
      <c r="X273" s="60"/>
      <c r="Y273" s="60"/>
      <c r="Z273" s="60"/>
      <c r="AA273" s="7"/>
      <c r="AB273" s="139"/>
      <c r="AC273" s="139"/>
      <c r="AD273" s="139"/>
      <c r="AE273" s="139"/>
      <c r="AF273" s="200">
        <v>11</v>
      </c>
    </row>
    <row r="274" spans="1:32" s="200" customFormat="1" ht="11.45" customHeight="1">
      <c r="A274" s="569"/>
      <c r="B274" s="65"/>
      <c r="C274" s="65"/>
      <c r="K274" s="60"/>
      <c r="L274" s="65"/>
      <c r="M274" s="65"/>
      <c r="N274" s="60"/>
      <c r="O274" s="60"/>
      <c r="P274" s="60"/>
      <c r="Q274" s="60"/>
      <c r="R274" s="65"/>
      <c r="S274" s="60"/>
      <c r="T274" s="60"/>
      <c r="U274" s="306"/>
      <c r="V274" s="60"/>
      <c r="W274" s="60"/>
      <c r="X274" s="60"/>
      <c r="Y274" s="60"/>
      <c r="Z274" s="60"/>
      <c r="AA274" s="7"/>
      <c r="AB274" s="139"/>
      <c r="AC274" s="139"/>
      <c r="AD274" s="139"/>
      <c r="AE274" s="139"/>
      <c r="AF274" s="200">
        <v>11</v>
      </c>
    </row>
    <row r="275" spans="1:32" s="200" customFormat="1" ht="11.45" customHeight="1">
      <c r="A275" s="569"/>
      <c r="B275" s="65"/>
      <c r="C275" s="65"/>
      <c r="K275" s="60"/>
      <c r="L275" s="65"/>
      <c r="M275" s="65"/>
      <c r="N275" s="60"/>
      <c r="O275" s="60"/>
      <c r="P275" s="60"/>
      <c r="Q275" s="60"/>
      <c r="R275" s="65"/>
      <c r="S275" s="60"/>
      <c r="T275" s="60"/>
      <c r="U275" s="306"/>
      <c r="V275" s="60"/>
      <c r="W275" s="60"/>
      <c r="X275" s="60"/>
      <c r="Y275" s="60"/>
      <c r="Z275" s="60"/>
      <c r="AA275" s="7"/>
      <c r="AB275" s="139"/>
      <c r="AC275" s="139"/>
      <c r="AD275" s="139"/>
      <c r="AE275" s="139"/>
      <c r="AF275" s="200">
        <v>11</v>
      </c>
    </row>
    <row r="276" spans="1:32" s="200" customFormat="1" ht="11.45" customHeight="1">
      <c r="A276" s="569"/>
      <c r="B276" s="65"/>
      <c r="C276" s="65"/>
      <c r="K276" s="60"/>
      <c r="L276" s="65"/>
      <c r="M276" s="65"/>
      <c r="N276" s="60"/>
      <c r="O276" s="60"/>
      <c r="P276" s="60"/>
      <c r="Q276" s="60"/>
      <c r="R276" s="65"/>
      <c r="S276" s="60"/>
      <c r="T276" s="60"/>
      <c r="U276" s="306"/>
      <c r="V276" s="60"/>
      <c r="W276" s="60"/>
      <c r="X276" s="60"/>
      <c r="Y276" s="60"/>
      <c r="Z276" s="60"/>
      <c r="AA276" s="7"/>
      <c r="AB276" s="139"/>
      <c r="AC276" s="139"/>
      <c r="AD276" s="139"/>
      <c r="AE276" s="139"/>
      <c r="AF276" s="200">
        <v>11</v>
      </c>
    </row>
    <row r="277" spans="1:32" s="200" customFormat="1" ht="11.45" customHeight="1">
      <c r="A277" s="569"/>
      <c r="B277" s="65"/>
      <c r="C277" s="65"/>
      <c r="K277" s="60"/>
      <c r="L277" s="65"/>
      <c r="M277" s="65"/>
      <c r="N277" s="60"/>
      <c r="O277" s="60"/>
      <c r="P277" s="60"/>
      <c r="Q277" s="60"/>
      <c r="R277" s="65"/>
      <c r="S277" s="60"/>
      <c r="T277" s="60"/>
      <c r="U277" s="306"/>
      <c r="V277" s="60"/>
      <c r="W277" s="60"/>
      <c r="X277" s="60"/>
      <c r="Y277" s="60"/>
      <c r="Z277" s="60"/>
      <c r="AA277" s="7"/>
      <c r="AB277" s="139"/>
      <c r="AC277" s="139"/>
      <c r="AD277" s="139"/>
      <c r="AE277" s="139"/>
      <c r="AF277" s="200">
        <v>11</v>
      </c>
    </row>
    <row r="278" spans="1:32" s="200" customFormat="1" ht="11.45" customHeight="1">
      <c r="A278" s="569"/>
      <c r="B278" s="65"/>
      <c r="C278" s="65"/>
      <c r="K278" s="60"/>
      <c r="L278" s="65"/>
      <c r="M278" s="65"/>
      <c r="N278" s="60"/>
      <c r="O278" s="60"/>
      <c r="P278" s="60"/>
      <c r="Q278" s="60"/>
      <c r="R278" s="65"/>
      <c r="S278" s="60"/>
      <c r="T278" s="60"/>
      <c r="U278" s="306"/>
      <c r="V278" s="60"/>
      <c r="W278" s="60"/>
      <c r="X278" s="60"/>
      <c r="Y278" s="60"/>
      <c r="Z278" s="60"/>
      <c r="AA278" s="7"/>
      <c r="AB278" s="139"/>
      <c r="AC278" s="139"/>
      <c r="AD278" s="139"/>
      <c r="AE278" s="139"/>
      <c r="AF278" s="200">
        <v>11</v>
      </c>
    </row>
    <row r="279" spans="1:32" s="200" customFormat="1" ht="11.45" customHeight="1">
      <c r="A279" s="569"/>
      <c r="B279" s="65"/>
      <c r="C279" s="65"/>
      <c r="K279" s="60"/>
      <c r="L279" s="65"/>
      <c r="M279" s="65"/>
      <c r="N279" s="60"/>
      <c r="O279" s="60"/>
      <c r="P279" s="60"/>
      <c r="Q279" s="60"/>
      <c r="R279" s="65"/>
      <c r="S279" s="60"/>
      <c r="T279" s="60"/>
      <c r="U279" s="306"/>
      <c r="V279" s="60"/>
      <c r="W279" s="60"/>
      <c r="X279" s="60"/>
      <c r="Y279" s="60"/>
      <c r="Z279" s="60"/>
      <c r="AA279" s="7"/>
      <c r="AB279" s="139"/>
      <c r="AC279" s="139"/>
      <c r="AD279" s="139"/>
      <c r="AE279" s="139"/>
      <c r="AF279" s="200">
        <v>11</v>
      </c>
    </row>
    <row r="280" spans="1:32" s="200" customFormat="1" ht="11.45" customHeight="1">
      <c r="A280" s="569"/>
      <c r="B280" s="65"/>
      <c r="C280" s="65"/>
      <c r="K280" s="60"/>
      <c r="L280" s="65"/>
      <c r="M280" s="65"/>
      <c r="N280" s="60"/>
      <c r="O280" s="60"/>
      <c r="P280" s="60"/>
      <c r="Q280" s="60"/>
      <c r="R280" s="65"/>
      <c r="S280" s="60"/>
      <c r="T280" s="60"/>
      <c r="U280" s="306"/>
      <c r="V280" s="60"/>
      <c r="W280" s="60"/>
      <c r="X280" s="60"/>
      <c r="Y280" s="60"/>
      <c r="Z280" s="60"/>
      <c r="AA280" s="7"/>
      <c r="AB280" s="139"/>
      <c r="AC280" s="139"/>
      <c r="AD280" s="139"/>
      <c r="AE280" s="139"/>
      <c r="AF280" s="200">
        <v>11</v>
      </c>
    </row>
    <row r="281" spans="1:32" s="200" customFormat="1" ht="11.45" customHeight="1">
      <c r="A281" s="569"/>
      <c r="B281" s="65"/>
      <c r="C281" s="65"/>
      <c r="K281" s="60"/>
      <c r="L281" s="65"/>
      <c r="M281" s="65"/>
      <c r="N281" s="60"/>
      <c r="O281" s="60"/>
      <c r="P281" s="60"/>
      <c r="Q281" s="60"/>
      <c r="R281" s="65"/>
      <c r="S281" s="60"/>
      <c r="T281" s="60"/>
      <c r="U281" s="306"/>
      <c r="V281" s="60"/>
      <c r="W281" s="60"/>
      <c r="X281" s="60"/>
      <c r="Y281" s="60"/>
      <c r="Z281" s="60"/>
      <c r="AA281" s="7"/>
      <c r="AB281" s="139"/>
      <c r="AC281" s="139"/>
      <c r="AD281" s="139"/>
      <c r="AE281" s="139"/>
      <c r="AF281" s="200">
        <v>11</v>
      </c>
    </row>
    <row r="282" spans="1:32" s="200" customFormat="1" ht="11.45" customHeight="1">
      <c r="A282" s="569"/>
      <c r="B282" s="65"/>
      <c r="C282" s="65"/>
      <c r="K282" s="60"/>
      <c r="L282" s="65"/>
      <c r="M282" s="65"/>
      <c r="N282" s="60"/>
      <c r="O282" s="60"/>
      <c r="P282" s="60"/>
      <c r="Q282" s="60"/>
      <c r="R282" s="65"/>
      <c r="S282" s="60"/>
      <c r="T282" s="60"/>
      <c r="U282" s="306"/>
      <c r="V282" s="60"/>
      <c r="W282" s="60"/>
      <c r="X282" s="60"/>
      <c r="Y282" s="60"/>
      <c r="Z282" s="60"/>
      <c r="AA282" s="7"/>
      <c r="AB282" s="139"/>
      <c r="AC282" s="139"/>
      <c r="AD282" s="139"/>
      <c r="AE282" s="139"/>
      <c r="AF282" s="200">
        <v>11</v>
      </c>
    </row>
    <row r="283" spans="1:32" s="200" customFormat="1" ht="11.45" customHeight="1">
      <c r="A283" s="569"/>
      <c r="B283" s="65"/>
      <c r="C283" s="65"/>
      <c r="K283" s="60"/>
      <c r="L283" s="65"/>
      <c r="M283" s="65"/>
      <c r="N283" s="60"/>
      <c r="O283" s="60"/>
      <c r="P283" s="60"/>
      <c r="Q283" s="60"/>
      <c r="R283" s="65"/>
      <c r="S283" s="60"/>
      <c r="T283" s="60"/>
      <c r="U283" s="306"/>
      <c r="V283" s="60"/>
      <c r="W283" s="60"/>
      <c r="X283" s="60"/>
      <c r="Y283" s="60"/>
      <c r="Z283" s="60"/>
      <c r="AA283" s="7"/>
      <c r="AB283" s="139"/>
      <c r="AC283" s="139"/>
      <c r="AD283" s="139"/>
      <c r="AE283" s="139"/>
      <c r="AF283" s="200">
        <v>11</v>
      </c>
    </row>
    <row r="284" spans="1:32" s="200" customFormat="1" ht="11.45" customHeight="1">
      <c r="A284" s="569"/>
      <c r="B284" s="65"/>
      <c r="C284" s="65"/>
      <c r="K284" s="60"/>
      <c r="L284" s="65"/>
      <c r="M284" s="65"/>
      <c r="N284" s="60"/>
      <c r="O284" s="60"/>
      <c r="P284" s="60"/>
      <c r="Q284" s="60"/>
      <c r="R284" s="65"/>
      <c r="S284" s="60"/>
      <c r="T284" s="60"/>
      <c r="U284" s="306"/>
      <c r="V284" s="60"/>
      <c r="W284" s="60"/>
      <c r="X284" s="60"/>
      <c r="Y284" s="60"/>
      <c r="Z284" s="60"/>
      <c r="AA284" s="7"/>
      <c r="AB284" s="139"/>
      <c r="AC284" s="139"/>
      <c r="AD284" s="139"/>
      <c r="AE284" s="139"/>
      <c r="AF284" s="200">
        <v>11</v>
      </c>
    </row>
    <row r="285" spans="1:32" s="200" customFormat="1" ht="11.45" customHeight="1">
      <c r="A285" s="569"/>
      <c r="B285" s="65"/>
      <c r="C285" s="65"/>
      <c r="K285" s="60"/>
      <c r="L285" s="65"/>
      <c r="M285" s="65"/>
      <c r="N285" s="60"/>
      <c r="O285" s="60"/>
      <c r="P285" s="60"/>
      <c r="Q285" s="60"/>
      <c r="R285" s="65"/>
      <c r="S285" s="60"/>
      <c r="T285" s="60"/>
      <c r="U285" s="306"/>
      <c r="V285" s="60"/>
      <c r="W285" s="60"/>
      <c r="X285" s="60"/>
      <c r="Y285" s="60"/>
      <c r="Z285" s="60"/>
      <c r="AA285" s="7"/>
      <c r="AB285" s="139"/>
      <c r="AC285" s="139"/>
      <c r="AD285" s="139"/>
      <c r="AE285" s="139"/>
      <c r="AF285" s="200">
        <v>11</v>
      </c>
    </row>
    <row r="286" spans="1:32" s="200" customFormat="1" ht="11.45" customHeight="1">
      <c r="A286" s="569"/>
      <c r="B286" s="65"/>
      <c r="C286" s="65"/>
      <c r="K286" s="60"/>
      <c r="L286" s="65"/>
      <c r="M286" s="65"/>
      <c r="N286" s="60"/>
      <c r="O286" s="60"/>
      <c r="P286" s="60"/>
      <c r="Q286" s="60"/>
      <c r="R286" s="65"/>
      <c r="S286" s="60"/>
      <c r="T286" s="60"/>
      <c r="U286" s="306"/>
      <c r="V286" s="60"/>
      <c r="W286" s="60"/>
      <c r="X286" s="60"/>
      <c r="Y286" s="60"/>
      <c r="Z286" s="60"/>
      <c r="AA286" s="7"/>
      <c r="AB286" s="139"/>
      <c r="AC286" s="139"/>
      <c r="AD286" s="139"/>
      <c r="AE286" s="139"/>
      <c r="AF286" s="200">
        <v>11</v>
      </c>
    </row>
    <row r="287" spans="1:32" s="200" customFormat="1" ht="11.45" customHeight="1">
      <c r="A287" s="569"/>
      <c r="B287" s="65"/>
      <c r="C287" s="65"/>
      <c r="K287" s="60"/>
      <c r="L287" s="65"/>
      <c r="M287" s="65"/>
      <c r="N287" s="60"/>
      <c r="O287" s="60"/>
      <c r="P287" s="60"/>
      <c r="Q287" s="60"/>
      <c r="R287" s="65"/>
      <c r="S287" s="60"/>
      <c r="T287" s="60"/>
      <c r="U287" s="306"/>
      <c r="V287" s="60"/>
      <c r="W287" s="60"/>
      <c r="X287" s="60"/>
      <c r="Y287" s="60"/>
      <c r="Z287" s="60"/>
      <c r="AA287" s="7"/>
      <c r="AB287" s="139"/>
      <c r="AC287" s="139"/>
      <c r="AD287" s="139"/>
      <c r="AE287" s="139"/>
      <c r="AF287" s="200">
        <v>11</v>
      </c>
    </row>
    <row r="288" spans="1:32" s="200" customFormat="1" ht="11.45" customHeight="1">
      <c r="A288" s="569"/>
      <c r="B288" s="65"/>
      <c r="C288" s="65"/>
      <c r="K288" s="60"/>
      <c r="L288" s="65"/>
      <c r="M288" s="65"/>
      <c r="N288" s="60"/>
      <c r="O288" s="60"/>
      <c r="P288" s="60"/>
      <c r="Q288" s="60"/>
      <c r="R288" s="65"/>
      <c r="S288" s="60"/>
      <c r="T288" s="60"/>
      <c r="U288" s="306"/>
      <c r="V288" s="60"/>
      <c r="W288" s="60"/>
      <c r="X288" s="60"/>
      <c r="Y288" s="60"/>
      <c r="Z288" s="60"/>
      <c r="AA288" s="7"/>
      <c r="AB288" s="139"/>
      <c r="AC288" s="139"/>
      <c r="AD288" s="139"/>
      <c r="AE288" s="139"/>
      <c r="AF288" s="200">
        <v>11</v>
      </c>
    </row>
    <row r="289" spans="1:32" ht="11.45" customHeight="1">
      <c r="AF289" s="10">
        <v>11</v>
      </c>
    </row>
    <row r="290" spans="1:32" ht="11.45" customHeight="1">
      <c r="AF290" s="10">
        <v>11</v>
      </c>
    </row>
    <row r="291" spans="1:32" ht="11.45" customHeight="1">
      <c r="AF291" s="10">
        <v>11</v>
      </c>
    </row>
    <row r="292" spans="1:32" ht="11.45" customHeight="1">
      <c r="A292" s="572"/>
      <c r="B292" s="10"/>
      <c r="K292" s="10"/>
      <c r="N292" s="10"/>
      <c r="O292" s="10"/>
      <c r="P292" s="10"/>
      <c r="Q292" s="10"/>
      <c r="S292" s="10"/>
      <c r="T292" s="10"/>
      <c r="U292" s="10"/>
      <c r="V292" s="10"/>
      <c r="W292" s="10"/>
      <c r="X292" s="10"/>
      <c r="Y292" s="10"/>
      <c r="Z292" s="10"/>
      <c r="AA292" s="10"/>
      <c r="AB292" s="10"/>
      <c r="AC292" s="10"/>
      <c r="AD292" s="10"/>
      <c r="AE292" s="10"/>
      <c r="AF292" s="10">
        <v>11</v>
      </c>
    </row>
    <row r="293" spans="1:32" ht="11.45" customHeight="1">
      <c r="A293" s="572"/>
      <c r="B293" s="10"/>
      <c r="K293" s="10"/>
      <c r="N293" s="10"/>
      <c r="O293" s="10"/>
      <c r="P293" s="10"/>
      <c r="Q293" s="10"/>
      <c r="S293" s="10"/>
      <c r="T293" s="10"/>
      <c r="U293" s="10"/>
      <c r="V293" s="10"/>
      <c r="W293" s="10"/>
      <c r="X293" s="10"/>
      <c r="Y293" s="10"/>
      <c r="Z293" s="10"/>
      <c r="AA293" s="10"/>
      <c r="AB293" s="10"/>
      <c r="AC293" s="10"/>
      <c r="AD293" s="10"/>
      <c r="AE293" s="10"/>
      <c r="AF293" s="10">
        <v>11</v>
      </c>
    </row>
    <row r="294" spans="1:32" ht="11.45" customHeight="1">
      <c r="A294" s="572"/>
      <c r="B294" s="10"/>
      <c r="K294" s="10"/>
      <c r="N294" s="10"/>
      <c r="O294" s="10"/>
      <c r="P294" s="10"/>
      <c r="Q294" s="10"/>
      <c r="S294" s="10"/>
      <c r="T294" s="10"/>
      <c r="U294" s="10"/>
      <c r="V294" s="10"/>
      <c r="W294" s="10"/>
      <c r="X294" s="10"/>
      <c r="Y294" s="10"/>
      <c r="Z294" s="10"/>
      <c r="AA294" s="10"/>
      <c r="AB294" s="10"/>
      <c r="AC294" s="10"/>
      <c r="AD294" s="10"/>
      <c r="AE294" s="10"/>
      <c r="AF294" s="10">
        <v>11</v>
      </c>
    </row>
    <row r="295" spans="1:32" ht="11.45" customHeight="1">
      <c r="A295" s="572"/>
      <c r="B295" s="10"/>
      <c r="K295" s="10"/>
      <c r="N295" s="10"/>
      <c r="O295" s="10"/>
      <c r="P295" s="10"/>
      <c r="Q295" s="10"/>
      <c r="S295" s="10"/>
      <c r="T295" s="10"/>
      <c r="U295" s="10"/>
      <c r="V295" s="10"/>
      <c r="W295" s="10"/>
      <c r="X295" s="10"/>
      <c r="Y295" s="10"/>
      <c r="Z295" s="10"/>
      <c r="AA295" s="10"/>
      <c r="AB295" s="10"/>
      <c r="AC295" s="10"/>
      <c r="AD295" s="10"/>
      <c r="AE295" s="10"/>
      <c r="AF295" s="10">
        <v>11</v>
      </c>
    </row>
    <row r="296" spans="1:32" ht="11.45" customHeight="1">
      <c r="A296" s="572"/>
      <c r="B296" s="10"/>
      <c r="K296" s="10"/>
      <c r="N296" s="10"/>
      <c r="O296" s="10"/>
      <c r="P296" s="10"/>
      <c r="Q296" s="10"/>
      <c r="S296" s="10"/>
      <c r="T296" s="10"/>
      <c r="U296" s="10"/>
      <c r="V296" s="10"/>
      <c r="W296" s="10"/>
      <c r="X296" s="10"/>
      <c r="Y296" s="10"/>
      <c r="Z296" s="10"/>
      <c r="AA296" s="10"/>
      <c r="AB296" s="10"/>
      <c r="AC296" s="10"/>
      <c r="AD296" s="10"/>
      <c r="AE296" s="10"/>
      <c r="AF296" s="10">
        <v>11</v>
      </c>
    </row>
    <row r="297" spans="1:32" ht="11.45" customHeight="1">
      <c r="A297" s="572"/>
      <c r="B297" s="10"/>
      <c r="K297" s="10"/>
      <c r="N297" s="10"/>
      <c r="O297" s="10"/>
      <c r="P297" s="10"/>
      <c r="Q297" s="10"/>
      <c r="S297" s="10"/>
      <c r="T297" s="10"/>
      <c r="U297" s="10"/>
      <c r="V297" s="10"/>
      <c r="W297" s="10"/>
      <c r="X297" s="10"/>
      <c r="Y297" s="10"/>
      <c r="Z297" s="10"/>
      <c r="AA297" s="10"/>
      <c r="AB297" s="10"/>
      <c r="AC297" s="10"/>
      <c r="AD297" s="10"/>
      <c r="AE297" s="10"/>
      <c r="AF297" s="10">
        <v>11</v>
      </c>
    </row>
    <row r="298" spans="1:32" ht="11.45" customHeight="1">
      <c r="A298" s="572"/>
      <c r="B298" s="10"/>
      <c r="K298" s="10"/>
      <c r="N298" s="10"/>
      <c r="O298" s="10"/>
      <c r="P298" s="10"/>
      <c r="Q298" s="10"/>
      <c r="S298" s="10"/>
      <c r="T298" s="10"/>
      <c r="U298" s="10"/>
      <c r="V298" s="10"/>
      <c r="W298" s="10"/>
      <c r="X298" s="10"/>
      <c r="Y298" s="10"/>
      <c r="Z298" s="10"/>
      <c r="AA298" s="10"/>
      <c r="AB298" s="10"/>
      <c r="AC298" s="10"/>
      <c r="AD298" s="10"/>
      <c r="AE298" s="10"/>
      <c r="AF298" s="10">
        <v>11</v>
      </c>
    </row>
    <row r="299" spans="1:32" ht="11.45" customHeight="1">
      <c r="A299" s="572"/>
      <c r="B299" s="10"/>
      <c r="K299" s="10"/>
      <c r="N299" s="10"/>
      <c r="O299" s="10"/>
      <c r="P299" s="10"/>
      <c r="Q299" s="10"/>
      <c r="S299" s="10"/>
      <c r="T299" s="10"/>
      <c r="U299" s="10"/>
      <c r="V299" s="10"/>
      <c r="W299" s="10"/>
      <c r="X299" s="10"/>
      <c r="Y299" s="10"/>
      <c r="Z299" s="10"/>
      <c r="AA299" s="10"/>
      <c r="AB299" s="10"/>
      <c r="AC299" s="10"/>
      <c r="AD299" s="10"/>
      <c r="AE299" s="10"/>
      <c r="AF299" s="10">
        <v>11</v>
      </c>
    </row>
    <row r="300" spans="1:32" ht="11.45" customHeight="1">
      <c r="A300" s="572"/>
      <c r="B300" s="10"/>
      <c r="K300" s="10"/>
      <c r="N300" s="10"/>
      <c r="O300" s="10"/>
      <c r="P300" s="10"/>
      <c r="Q300" s="10"/>
      <c r="S300" s="10"/>
      <c r="T300" s="10"/>
      <c r="U300" s="10"/>
      <c r="V300" s="10"/>
      <c r="W300" s="10"/>
      <c r="X300" s="10"/>
      <c r="Y300" s="10"/>
      <c r="Z300" s="10"/>
      <c r="AA300" s="10"/>
      <c r="AB300" s="10"/>
      <c r="AC300" s="10"/>
      <c r="AD300" s="10"/>
      <c r="AE300" s="10"/>
      <c r="AF300" s="10">
        <v>11</v>
      </c>
    </row>
    <row r="301" spans="1:32" ht="11.45" customHeight="1">
      <c r="A301" s="572"/>
      <c r="B301" s="10"/>
      <c r="K301" s="10"/>
      <c r="N301" s="10"/>
      <c r="O301" s="10"/>
      <c r="P301" s="10"/>
      <c r="Q301" s="10"/>
      <c r="S301" s="10"/>
      <c r="T301" s="10"/>
      <c r="U301" s="10"/>
      <c r="V301" s="10"/>
      <c r="W301" s="10"/>
      <c r="X301" s="10"/>
      <c r="Y301" s="10"/>
      <c r="Z301" s="10"/>
      <c r="AA301" s="10"/>
      <c r="AB301" s="10"/>
      <c r="AC301" s="10"/>
      <c r="AD301" s="10"/>
      <c r="AE301" s="10"/>
      <c r="AF301" s="10">
        <v>11</v>
      </c>
    </row>
    <row r="302" spans="1:32" ht="11.45" customHeight="1">
      <c r="A302" s="572"/>
      <c r="B302" s="10"/>
      <c r="K302" s="10"/>
      <c r="N302" s="10"/>
      <c r="O302" s="10"/>
      <c r="P302" s="10"/>
      <c r="Q302" s="10"/>
      <c r="S302" s="10"/>
      <c r="T302" s="10"/>
      <c r="U302" s="10"/>
      <c r="V302" s="10"/>
      <c r="W302" s="10"/>
      <c r="X302" s="10"/>
      <c r="Y302" s="10"/>
      <c r="Z302" s="10"/>
      <c r="AA302" s="10"/>
      <c r="AB302" s="10"/>
      <c r="AC302" s="10"/>
      <c r="AD302" s="10"/>
      <c r="AE302" s="10"/>
      <c r="AF302" s="10">
        <v>11</v>
      </c>
    </row>
    <row r="303" spans="1:32" ht="11.25" hidden="1" customHeight="1">
      <c r="A303" s="569" t="s">
        <v>80</v>
      </c>
      <c r="B303" s="60">
        <v>0</v>
      </c>
      <c r="C303" s="65">
        <v>0</v>
      </c>
      <c r="D303" s="10">
        <v>3</v>
      </c>
      <c r="E303" s="10">
        <v>7</v>
      </c>
      <c r="F303" s="10">
        <v>54</v>
      </c>
      <c r="G303" s="10">
        <v>10</v>
      </c>
      <c r="H303" s="10">
        <v>0</v>
      </c>
      <c r="I303" s="10">
        <v>40</v>
      </c>
      <c r="J303" s="10">
        <v>102</v>
      </c>
      <c r="K303" s="60">
        <v>9</v>
      </c>
      <c r="L303" s="65">
        <v>5</v>
      </c>
      <c r="M303" s="65">
        <v>3</v>
      </c>
      <c r="N303" s="60">
        <v>3</v>
      </c>
      <c r="O303" s="60">
        <v>3</v>
      </c>
      <c r="P303" s="60">
        <v>3</v>
      </c>
      <c r="Q303" s="60">
        <v>3</v>
      </c>
      <c r="R303" s="65">
        <v>10</v>
      </c>
      <c r="S303" s="60">
        <v>34</v>
      </c>
      <c r="T303" s="60">
        <v>9</v>
      </c>
      <c r="U303" s="306">
        <v>8</v>
      </c>
      <c r="V303" s="60">
        <v>8</v>
      </c>
      <c r="W303" s="60">
        <v>8</v>
      </c>
      <c r="X303" s="60">
        <v>8</v>
      </c>
      <c r="Y303" s="60">
        <v>8</v>
      </c>
      <c r="Z303" s="60">
        <v>8</v>
      </c>
      <c r="AA303" s="7">
        <v>8</v>
      </c>
      <c r="AB303" s="7">
        <v>8</v>
      </c>
      <c r="AC303" s="7">
        <v>8</v>
      </c>
      <c r="AD303" s="7">
        <v>8</v>
      </c>
      <c r="AE303" s="7">
        <v>8</v>
      </c>
      <c r="AF303" s="1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352" hidden="1" customWidth="1"/>
    <col min="2" max="2" width="17" style="7" hidden="1" customWidth="1"/>
    <col min="3" max="3" width="3" style="10" customWidth="1"/>
    <col min="4" max="4" width="1.85546875" style="10" hidden="1" customWidth="1"/>
    <col min="5" max="6" width="7" style="10" customWidth="1"/>
    <col min="7" max="7" width="29" style="10" customWidth="1"/>
    <col min="8" max="8" width="3.7109375" style="10" customWidth="1"/>
    <col min="9" max="9" width="5" style="10" customWidth="1"/>
    <col min="10" max="11" width="24" style="10" customWidth="1"/>
    <col min="12" max="12" width="3" style="10" customWidth="1"/>
    <col min="13" max="13" width="6" style="10" customWidth="1"/>
    <col min="14" max="14" width="25" style="10" customWidth="1"/>
    <col min="15" max="18" width="18" style="10" customWidth="1"/>
    <col min="19" max="19" width="93" style="10" customWidth="1"/>
    <col min="20" max="20" width="10" style="10" customWidth="1"/>
    <col min="21" max="21" width="10" style="65" customWidth="1"/>
    <col min="22" max="22" width="11" style="65" customWidth="1"/>
    <col min="23" max="27" width="10" style="7" customWidth="1"/>
    <col min="28" max="83" width="8" style="10" customWidth="1"/>
    <col min="84" max="84" width="9.140625" style="10" hidden="1"/>
  </cols>
  <sheetData>
    <row r="1" spans="1:84" ht="22.5" hidden="1" customHeight="1">
      <c r="CF1" s="10" t="s">
        <v>14</v>
      </c>
    </row>
    <row r="2" spans="1:84" ht="11.25" hidden="1" customHeight="1">
      <c r="CF2" s="10">
        <v>0</v>
      </c>
    </row>
    <row r="3" spans="1:84" ht="11.25" hidden="1" customHeight="1">
      <c r="CF3" s="10">
        <v>0</v>
      </c>
    </row>
    <row r="4" spans="1:84" ht="3" customHeight="1">
      <c r="K4" s="75"/>
      <c r="L4" s="75"/>
      <c r="M4" s="75"/>
      <c r="CF4" s="10">
        <v>3</v>
      </c>
    </row>
    <row r="5" spans="1:84" ht="29.25" customHeight="1">
      <c r="D5" s="222"/>
      <c r="E5" s="126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64"/>
      <c r="G5" s="1264"/>
      <c r="H5" s="1264"/>
      <c r="I5" s="1264"/>
      <c r="J5" s="1264"/>
      <c r="K5" s="1264"/>
      <c r="L5" s="56"/>
      <c r="M5" s="56"/>
      <c r="CF5" s="10">
        <v>28</v>
      </c>
    </row>
    <row r="6" spans="1:84" s="10" customFormat="1" ht="16.899999999999999" customHeight="1">
      <c r="A6" s="352"/>
      <c r="B6" s="7"/>
      <c r="D6" s="619"/>
      <c r="E6" s="1236" t="str">
        <f>IF(org=0,"Не определено",org)</f>
        <v>Общество с ограниченной ответственностью "Березовский рудник"</v>
      </c>
      <c r="F6" s="1236"/>
      <c r="G6" s="1236"/>
      <c r="H6" s="1236"/>
      <c r="I6" s="1236"/>
      <c r="J6" s="1236"/>
      <c r="K6" s="1236"/>
      <c r="L6" s="56"/>
      <c r="M6" s="56"/>
      <c r="U6" s="65"/>
      <c r="V6" s="65"/>
      <c r="W6" s="7"/>
      <c r="X6" s="7"/>
      <c r="Y6" s="7"/>
      <c r="Z6" s="7"/>
      <c r="AA6" s="7"/>
      <c r="CF6" s="10">
        <v>16</v>
      </c>
    </row>
    <row r="7" spans="1:84" ht="11.45" customHeight="1">
      <c r="G7" s="56"/>
      <c r="H7" s="56"/>
      <c r="I7" s="56"/>
      <c r="J7" s="56"/>
      <c r="K7" s="353"/>
      <c r="L7" s="353"/>
      <c r="M7" s="353"/>
      <c r="R7" s="432"/>
      <c r="CF7" s="10">
        <v>11</v>
      </c>
    </row>
    <row r="8" spans="1:84" s="200" customFormat="1" ht="4.1500000000000004" customHeight="1">
      <c r="A8" s="355"/>
      <c r="B8" s="139"/>
      <c r="G8" s="557"/>
      <c r="H8" s="557"/>
      <c r="I8" s="557"/>
      <c r="J8" s="557"/>
      <c r="K8" s="594"/>
      <c r="L8" s="594"/>
      <c r="M8" s="594"/>
      <c r="R8" s="595"/>
      <c r="U8" s="65"/>
      <c r="V8" s="65"/>
      <c r="W8" s="139"/>
      <c r="X8" s="139"/>
      <c r="Y8" s="139"/>
      <c r="Z8" s="139"/>
      <c r="AA8" s="139"/>
      <c r="CF8" s="200">
        <v>4</v>
      </c>
    </row>
    <row r="9" spans="1:84" ht="19.899999999999999" customHeight="1">
      <c r="D9" s="64"/>
      <c r="E9" s="1128" t="s">
        <v>300</v>
      </c>
      <c r="F9" s="1133"/>
      <c r="G9" s="1133"/>
      <c r="H9" s="1133"/>
      <c r="I9" s="1133"/>
      <c r="J9" s="1133"/>
      <c r="K9" s="1133"/>
      <c r="L9" s="1133"/>
      <c r="M9" s="1133"/>
      <c r="N9" s="1133"/>
      <c r="O9" s="1133"/>
      <c r="P9" s="1133"/>
      <c r="Q9" s="1133"/>
      <c r="R9" s="1127"/>
      <c r="S9" s="1146" t="s">
        <v>301</v>
      </c>
      <c r="T9" s="193"/>
      <c r="CF9" s="10">
        <v>19</v>
      </c>
    </row>
    <row r="10" spans="1:84" ht="48.2" customHeight="1">
      <c r="D10" s="313" t="s">
        <v>86</v>
      </c>
      <c r="E10" s="1146" t="s">
        <v>86</v>
      </c>
      <c r="F10" s="1146"/>
      <c r="G10" s="40" t="s">
        <v>302</v>
      </c>
      <c r="H10" s="1146" t="s">
        <v>86</v>
      </c>
      <c r="I10" s="1146"/>
      <c r="J10" s="40" t="s">
        <v>601</v>
      </c>
      <c r="K10" s="40" t="s">
        <v>602</v>
      </c>
      <c r="L10" s="1146" t="s">
        <v>86</v>
      </c>
      <c r="M10" s="1146"/>
      <c r="N10" s="40" t="s">
        <v>603</v>
      </c>
      <c r="O10" s="40" t="s">
        <v>604</v>
      </c>
      <c r="P10" s="40" t="s">
        <v>605</v>
      </c>
      <c r="Q10" s="40" t="s">
        <v>606</v>
      </c>
      <c r="R10" s="40" t="s">
        <v>607</v>
      </c>
      <c r="S10" s="1146"/>
      <c r="T10" s="193"/>
      <c r="CF10" s="10">
        <v>46</v>
      </c>
    </row>
    <row r="11" spans="1:84" s="65" customFormat="1" ht="15" hidden="1" customHeight="1">
      <c r="A11" s="310"/>
      <c r="D11" s="310" t="s">
        <v>107</v>
      </c>
      <c r="E11" s="310"/>
      <c r="F11" s="310" t="s">
        <v>108</v>
      </c>
      <c r="G11" s="310" t="s">
        <v>88</v>
      </c>
      <c r="H11" s="310"/>
      <c r="I11" s="310" t="s">
        <v>89</v>
      </c>
      <c r="J11" s="310" t="s">
        <v>109</v>
      </c>
      <c r="K11" s="310" t="s">
        <v>90</v>
      </c>
      <c r="L11" s="310"/>
      <c r="M11" s="310" t="s">
        <v>91</v>
      </c>
      <c r="N11" s="310" t="s">
        <v>110</v>
      </c>
      <c r="O11" s="310" t="s">
        <v>146</v>
      </c>
      <c r="P11" s="310" t="s">
        <v>147</v>
      </c>
      <c r="Q11" s="310" t="s">
        <v>148</v>
      </c>
      <c r="R11" s="310" t="s">
        <v>149</v>
      </c>
      <c r="S11" s="310" t="s">
        <v>150</v>
      </c>
      <c r="CF11" s="65">
        <v>0</v>
      </c>
    </row>
    <row r="12" spans="1:84" s="10" customFormat="1" ht="1.1499999999999999" customHeight="1">
      <c r="A12" s="352"/>
      <c r="B12" s="7"/>
      <c r="D12" s="310"/>
      <c r="E12" s="53"/>
      <c r="F12" s="53"/>
      <c r="Q12" s="76"/>
      <c r="R12" s="354"/>
      <c r="T12" s="193"/>
      <c r="U12" s="65"/>
      <c r="V12" s="65"/>
      <c r="W12" s="7"/>
      <c r="X12" s="7"/>
      <c r="Y12" s="7"/>
      <c r="Z12" s="7"/>
      <c r="AA12" s="7"/>
      <c r="CF12" s="10">
        <v>1</v>
      </c>
    </row>
    <row r="13" spans="1:84" s="200" customFormat="1" ht="1.1499999999999999" customHeight="1">
      <c r="A13" s="355"/>
      <c r="B13" s="139"/>
      <c r="D13" s="310" t="s">
        <v>376</v>
      </c>
      <c r="E13" s="321"/>
      <c r="F13" s="321"/>
      <c r="G13" s="321"/>
      <c r="H13" s="321"/>
      <c r="I13" s="321"/>
      <c r="J13" s="321"/>
      <c r="K13" s="321"/>
      <c r="L13" s="321"/>
      <c r="M13" s="321"/>
      <c r="N13" s="321"/>
      <c r="O13" s="321"/>
      <c r="P13" s="321"/>
      <c r="Q13" s="321"/>
      <c r="R13" s="321"/>
      <c r="T13" s="193"/>
      <c r="U13" s="65"/>
      <c r="V13" s="65"/>
      <c r="W13" s="139"/>
      <c r="X13" s="139"/>
      <c r="Y13" s="139"/>
      <c r="Z13" s="139"/>
      <c r="AA13" s="139"/>
      <c r="CF13" s="200">
        <v>1</v>
      </c>
    </row>
    <row r="14" spans="1:84" ht="15" hidden="1" customHeight="1">
      <c r="A14" s="31" t="s">
        <v>115</v>
      </c>
      <c r="B14"/>
      <c r="C14"/>
      <c r="D14" s="1374" t="s">
        <v>107</v>
      </c>
      <c r="E14" s="1381" t="s">
        <v>103</v>
      </c>
      <c r="F14" s="1382"/>
      <c r="G14" s="1383"/>
      <c r="H14" s="1377">
        <f>IF(A14="","",INDEX(DIFFERENTIATION_UNMERGE_VD,MATCH(A14,DIFFERENTIATION_ID_DIFF,0)))</f>
        <v>0</v>
      </c>
      <c r="I14" s="1377"/>
      <c r="J14" s="1377"/>
      <c r="K14" s="1377"/>
      <c r="L14" s="1377"/>
      <c r="M14" s="1377"/>
      <c r="N14" s="1377"/>
      <c r="O14" s="1377"/>
      <c r="P14" s="1377"/>
      <c r="Q14" s="1377"/>
      <c r="R14" s="1377"/>
      <c r="S14" s="413"/>
      <c r="T14" s="411"/>
      <c r="U14" s="101"/>
      <c r="V14" s="101"/>
      <c r="W14" s="59"/>
      <c r="X14" s="59"/>
      <c r="Y14" s="59"/>
      <c r="Z14" s="59"/>
      <c r="AA14" s="101"/>
      <c r="AB14" s="59"/>
      <c r="AC14" s="1380"/>
      <c r="AD14" s="59"/>
      <c r="AE14" s="356" t="s">
        <v>28</v>
      </c>
      <c r="AF14" s="356"/>
      <c r="AG14" s="357" t="s">
        <v>608</v>
      </c>
      <c r="AH14" s="358">
        <v>3</v>
      </c>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59"/>
      <c r="BW14" s="59"/>
      <c r="BX14" s="59"/>
      <c r="BY14" s="59"/>
      <c r="BZ14" s="59"/>
      <c r="CA14" s="59"/>
      <c r="CB14" s="59"/>
      <c r="CC14" s="59"/>
      <c r="CD14" s="59"/>
      <c r="CE14" s="59"/>
      <c r="CF14">
        <v>0</v>
      </c>
    </row>
    <row r="15" spans="1:84" ht="15" hidden="1" customHeight="1">
      <c r="A15" s="31"/>
      <c r="B15"/>
      <c r="C15"/>
      <c r="D15" s="1375"/>
      <c r="E15" s="1381" t="s">
        <v>563</v>
      </c>
      <c r="F15" s="1382"/>
      <c r="G15" s="1383"/>
      <c r="H15" s="1377" t="str">
        <f>IF(A14="","",INDEX(DIFFERENTIATION_UNMERGE_AREA,MATCH(A14,DIFFERENTIATION_ID_DIFF,0)))</f>
        <v/>
      </c>
      <c r="I15" s="1377"/>
      <c r="J15" s="1377"/>
      <c r="K15" s="1377"/>
      <c r="L15" s="1377"/>
      <c r="M15" s="1377"/>
      <c r="N15" s="1377"/>
      <c r="O15" s="1377"/>
      <c r="P15" s="1377"/>
      <c r="Q15" s="1377"/>
      <c r="R15" s="1377"/>
      <c r="S15" s="413"/>
      <c r="T15" s="411"/>
      <c r="U15" s="101"/>
      <c r="V15" s="101"/>
      <c r="W15" s="59"/>
      <c r="X15" s="59"/>
      <c r="Y15" s="59"/>
      <c r="Z15" s="59"/>
      <c r="AA15" s="101"/>
      <c r="AB15" s="59"/>
      <c r="AC15" s="1380"/>
      <c r="AD15" s="59"/>
      <c r="AE15" s="356"/>
      <c r="AF15" s="356"/>
      <c r="AG15" s="357"/>
      <c r="AH15" s="358"/>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59"/>
      <c r="BW15" s="59"/>
      <c r="BX15" s="59"/>
      <c r="BY15" s="59"/>
      <c r="BZ15" s="59"/>
      <c r="CA15" s="59"/>
      <c r="CB15" s="59"/>
      <c r="CC15" s="59"/>
      <c r="CD15" s="59"/>
      <c r="CE15" s="59"/>
      <c r="CF15">
        <v>0</v>
      </c>
    </row>
    <row r="16" spans="1:84" ht="15" hidden="1" customHeight="1">
      <c r="A16" s="31"/>
      <c r="B16"/>
      <c r="C16"/>
      <c r="D16" s="1375"/>
      <c r="E16" s="1381" t="s">
        <v>564</v>
      </c>
      <c r="F16" s="1382"/>
      <c r="G16" s="1383"/>
      <c r="H16" s="1377" t="str">
        <f>IF(A14="","",INDEX(DIFFERENTIATION_UNMERGE_SYSTEM,MATCH(A14,DIFFERENTIATION_ID_DIFF,0)))</f>
        <v>без дифференциации</v>
      </c>
      <c r="I16" s="1377"/>
      <c r="J16" s="1377"/>
      <c r="K16" s="1377"/>
      <c r="L16" s="1377"/>
      <c r="M16" s="1377"/>
      <c r="N16" s="1377"/>
      <c r="O16" s="1377"/>
      <c r="P16" s="1377"/>
      <c r="Q16" s="1377"/>
      <c r="R16" s="1377"/>
      <c r="S16" s="413"/>
      <c r="T16" s="411"/>
      <c r="U16" s="101"/>
      <c r="V16" s="101"/>
      <c r="W16" s="59"/>
      <c r="X16" s="59"/>
      <c r="Y16" s="59"/>
      <c r="Z16" s="59"/>
      <c r="AA16" s="101"/>
      <c r="AB16" s="59"/>
      <c r="AC16" s="1380"/>
      <c r="AD16" s="59"/>
      <c r="AE16" s="356"/>
      <c r="AF16" s="356"/>
      <c r="AG16" s="357"/>
      <c r="AH16" s="358"/>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59"/>
      <c r="BW16" s="59"/>
      <c r="BX16" s="59"/>
      <c r="BY16" s="59"/>
      <c r="BZ16" s="59"/>
      <c r="CA16" s="59"/>
      <c r="CB16" s="59"/>
      <c r="CC16" s="59"/>
      <c r="CD16" s="59"/>
      <c r="CE16" s="59"/>
      <c r="CF16">
        <v>0</v>
      </c>
    </row>
    <row r="17" spans="1:84" ht="22.5" hidden="1" customHeight="1">
      <c r="A17" s="298"/>
      <c r="B17" s="60"/>
      <c r="C17" s="232"/>
      <c r="D17" s="1375"/>
      <c r="E17" s="1379" t="s">
        <v>609</v>
      </c>
      <c r="F17" s="1379"/>
      <c r="G17" s="1379"/>
      <c r="H17" s="1379"/>
      <c r="I17" s="1379"/>
      <c r="J17" s="1379"/>
      <c r="K17" s="1379"/>
      <c r="L17" s="1379"/>
      <c r="M17" s="1379"/>
      <c r="N17" s="1379"/>
      <c r="O17" s="1379"/>
      <c r="P17" s="1379"/>
      <c r="Q17" s="319">
        <f>SUMIF(T18:T19,"i",Q18:Q19)</f>
        <v>0</v>
      </c>
      <c r="R17" s="593"/>
      <c r="S17" s="150" t="s">
        <v>610</v>
      </c>
      <c r="T17" s="411" t="s">
        <v>611</v>
      </c>
      <c r="U17" s="1287">
        <v>1</v>
      </c>
      <c r="V17" s="1287" t="str">
        <f>INDEX(B_FHD_FLAG_INDEX_1,1,MATCH(A14,B_FHD_FLAG_DIFFERENTIATION,0))</f>
        <v>отсутствует</v>
      </c>
      <c r="W17" s="60"/>
      <c r="X17" s="60"/>
      <c r="Y17" s="60"/>
      <c r="Z17" s="60"/>
      <c r="AA17" s="65"/>
      <c r="AB17" s="60"/>
      <c r="AC17" s="1380"/>
      <c r="AD17" s="59"/>
      <c r="AE17" s="60"/>
      <c r="AF17" s="60"/>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0"/>
      <c r="BW17" s="60"/>
      <c r="BX17" s="60"/>
      <c r="BY17" s="60"/>
      <c r="BZ17" s="60"/>
      <c r="CA17" s="60"/>
      <c r="CB17" s="60"/>
      <c r="CC17" s="60"/>
      <c r="CD17" s="60"/>
      <c r="CE17" s="60"/>
      <c r="CF17">
        <v>0</v>
      </c>
    </row>
    <row r="18" spans="1:84" ht="11.25" hidden="1" customHeight="1">
      <c r="A18" s="119"/>
      <c r="B18" s="65"/>
      <c r="C18" s="65"/>
      <c r="D18" s="1375"/>
      <c r="E18" s="359"/>
      <c r="F18" s="359">
        <v>0</v>
      </c>
      <c r="G18" s="359"/>
      <c r="H18" s="359"/>
      <c r="I18" s="359"/>
      <c r="J18" s="359"/>
      <c r="K18" s="359"/>
      <c r="L18" s="359"/>
      <c r="M18" s="359"/>
      <c r="N18" s="359"/>
      <c r="O18" s="359"/>
      <c r="P18" s="359"/>
      <c r="Q18" s="359"/>
      <c r="R18" s="359"/>
      <c r="S18" s="314"/>
      <c r="T18" s="412"/>
      <c r="U18" s="1287"/>
      <c r="V18" s="1287"/>
      <c r="W18" s="65"/>
      <c r="X18" s="65"/>
      <c r="Y18" s="65"/>
      <c r="Z18" s="65"/>
      <c r="AA18" s="65"/>
      <c r="AB18" s="60"/>
      <c r="AC18" s="1380"/>
      <c r="AD18" s="59"/>
      <c r="AE18" s="60"/>
      <c r="AF18" s="60"/>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v>0</v>
      </c>
    </row>
    <row r="19" spans="1:84" ht="11.25" hidden="1" customHeight="1">
      <c r="A19" s="298"/>
      <c r="B19" s="60"/>
      <c r="C19" s="232"/>
      <c r="D19" s="1375"/>
      <c r="E19" s="181" t="s">
        <v>28</v>
      </c>
      <c r="F19" s="107" t="s">
        <v>28</v>
      </c>
      <c r="G19" s="107" t="s">
        <v>28</v>
      </c>
      <c r="H19" s="51" t="s">
        <v>28</v>
      </c>
      <c r="I19" s="51"/>
      <c r="J19" s="51"/>
      <c r="K19" s="51"/>
      <c r="L19" s="51"/>
      <c r="M19" s="51"/>
      <c r="N19" s="51"/>
      <c r="O19" s="51"/>
      <c r="P19" s="51"/>
      <c r="Q19" s="51"/>
      <c r="R19" s="349"/>
      <c r="S19" s="596"/>
      <c r="T19" s="412"/>
      <c r="U19" s="1287"/>
      <c r="V19" s="1287"/>
      <c r="W19" s="60"/>
      <c r="X19" s="60"/>
      <c r="Y19" s="60"/>
      <c r="Z19" s="60"/>
      <c r="AA19" s="65"/>
      <c r="AB19" s="60"/>
      <c r="AC19" s="1380"/>
      <c r="AD19" s="59"/>
      <c r="AE19" s="60"/>
      <c r="AF19" s="60"/>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0"/>
      <c r="BW19" s="60"/>
      <c r="BX19" s="60"/>
      <c r="BY19" s="60"/>
      <c r="BZ19" s="60"/>
      <c r="CA19" s="60"/>
      <c r="CB19" s="60"/>
      <c r="CC19" s="60"/>
      <c r="CD19" s="60"/>
      <c r="CE19" s="60"/>
      <c r="CF19">
        <v>0</v>
      </c>
    </row>
    <row r="20" spans="1:84" ht="22.5" hidden="1" customHeight="1">
      <c r="A20" s="298"/>
      <c r="B20" s="60"/>
      <c r="C20" s="232"/>
      <c r="D20" s="1375"/>
      <c r="E20" s="1379" t="s">
        <v>612</v>
      </c>
      <c r="F20" s="1379"/>
      <c r="G20" s="1379"/>
      <c r="H20" s="1379"/>
      <c r="I20" s="1379"/>
      <c r="J20" s="1379"/>
      <c r="K20" s="1379"/>
      <c r="L20" s="1379"/>
      <c r="M20" s="1379"/>
      <c r="N20" s="1379"/>
      <c r="O20" s="1379"/>
      <c r="P20" s="1379"/>
      <c r="Q20" s="319">
        <f>SUMIF(T21:T22,"i",Q21:Q22)</f>
        <v>0</v>
      </c>
      <c r="R20" s="593"/>
      <c r="S20" s="150" t="s">
        <v>613</v>
      </c>
      <c r="T20" s="411" t="s">
        <v>611</v>
      </c>
      <c r="U20" s="1287">
        <v>2</v>
      </c>
      <c r="V20" s="1287" t="str">
        <f>INDEX(B_FHD_FLAG_INDEX_2,1,MATCH(A14,B_FHD_FLAG_DIFFERENTIATION,0))</f>
        <v>отсутствует</v>
      </c>
      <c r="W20" s="60"/>
      <c r="X20" s="60"/>
      <c r="Y20" s="60"/>
      <c r="Z20" s="60"/>
      <c r="AA20" s="65"/>
      <c r="AB20" s="60"/>
      <c r="AC20" s="404"/>
      <c r="AD20" s="59"/>
      <c r="AE20" s="60"/>
      <c r="AF20" s="60"/>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0"/>
      <c r="BW20" s="60"/>
      <c r="BX20" s="60"/>
      <c r="BY20" s="60"/>
      <c r="BZ20" s="60"/>
      <c r="CA20" s="60"/>
      <c r="CB20" s="60"/>
      <c r="CC20" s="60"/>
      <c r="CD20" s="60"/>
      <c r="CE20" s="60"/>
      <c r="CF20">
        <v>0</v>
      </c>
    </row>
    <row r="21" spans="1:84" ht="11.25" hidden="1" customHeight="1">
      <c r="A21" s="119"/>
      <c r="B21" s="65"/>
      <c r="C21" s="65"/>
      <c r="D21" s="1375"/>
      <c r="E21" s="359"/>
      <c r="F21" s="359">
        <v>0</v>
      </c>
      <c r="G21" s="359"/>
      <c r="H21" s="359"/>
      <c r="I21" s="359"/>
      <c r="J21" s="359"/>
      <c r="K21" s="359"/>
      <c r="L21" s="359"/>
      <c r="M21" s="359"/>
      <c r="N21" s="359"/>
      <c r="O21" s="359"/>
      <c r="P21" s="359"/>
      <c r="Q21" s="359"/>
      <c r="R21" s="359"/>
      <c r="S21" s="314"/>
      <c r="T21" s="412"/>
      <c r="U21" s="1287"/>
      <c r="V21" s="1287"/>
      <c r="W21" s="65"/>
      <c r="X21" s="65"/>
      <c r="Y21" s="65"/>
      <c r="Z21" s="65"/>
      <c r="AA21" s="65"/>
      <c r="AB21" s="60"/>
      <c r="AC21" s="404"/>
      <c r="AD21" s="59"/>
      <c r="AE21" s="60"/>
      <c r="AF21" s="60"/>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v>0</v>
      </c>
    </row>
    <row r="22" spans="1:84" ht="11.25" hidden="1" customHeight="1">
      <c r="A22" s="298"/>
      <c r="B22" s="60"/>
      <c r="C22" s="232"/>
      <c r="D22" s="1376"/>
      <c r="E22" s="181" t="s">
        <v>28</v>
      </c>
      <c r="F22" s="107" t="s">
        <v>28</v>
      </c>
      <c r="G22" s="107" t="s">
        <v>28</v>
      </c>
      <c r="H22" s="51" t="s">
        <v>28</v>
      </c>
      <c r="I22" s="51"/>
      <c r="J22" s="51"/>
      <c r="K22" s="51"/>
      <c r="L22" s="51"/>
      <c r="M22" s="51"/>
      <c r="N22" s="51"/>
      <c r="O22" s="51"/>
      <c r="P22" s="51"/>
      <c r="Q22" s="51"/>
      <c r="R22" s="349"/>
      <c r="S22" s="596"/>
      <c r="T22" s="412"/>
      <c r="U22" s="1287"/>
      <c r="V22" s="1287"/>
      <c r="W22" s="60"/>
      <c r="X22" s="60"/>
      <c r="Y22" s="60"/>
      <c r="Z22" s="60"/>
      <c r="AA22" s="65"/>
      <c r="AB22" s="60"/>
      <c r="AC22" s="404"/>
      <c r="AD22" s="59"/>
      <c r="AE22" s="60"/>
      <c r="AF22" s="60"/>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0"/>
      <c r="BW22" s="60"/>
      <c r="BX22" s="60"/>
      <c r="BY22" s="60"/>
      <c r="BZ22" s="60"/>
      <c r="CA22" s="60"/>
      <c r="CB22" s="60"/>
      <c r="CC22" s="60"/>
      <c r="CD22" s="60"/>
      <c r="CE22" s="60"/>
      <c r="CF22">
        <v>0</v>
      </c>
    </row>
    <row r="23" spans="1:84" ht="19.899999999999999" customHeight="1">
      <c r="D23" s="615"/>
      <c r="E23" s="615"/>
      <c r="F23" s="615"/>
      <c r="G23" s="615"/>
      <c r="H23" s="615"/>
      <c r="I23" s="615"/>
      <c r="J23" s="615"/>
      <c r="K23" s="615"/>
      <c r="L23" s="615"/>
      <c r="M23" s="615"/>
      <c r="N23" s="615"/>
      <c r="O23" s="615"/>
      <c r="P23" s="615"/>
      <c r="Q23" s="615"/>
      <c r="R23" s="615"/>
      <c r="S23" s="615"/>
      <c r="T23" s="193"/>
      <c r="CF23" s="10">
        <v>19</v>
      </c>
    </row>
    <row r="24" spans="1:84" ht="11.45" customHeight="1">
      <c r="CF24" s="10">
        <v>11</v>
      </c>
    </row>
    <row r="25" spans="1:84" ht="11.45" customHeight="1">
      <c r="D25" s="75"/>
      <c r="E25" s="75"/>
      <c r="F25" s="75"/>
      <c r="G25" s="34"/>
      <c r="CF25" s="10">
        <v>11</v>
      </c>
    </row>
    <row r="26" spans="1:84" ht="11.45" customHeight="1">
      <c r="CF26" s="10">
        <v>11</v>
      </c>
    </row>
    <row r="27" spans="1:84" ht="11.45" customHeight="1">
      <c r="D27" s="369"/>
      <c r="E27" s="1378"/>
      <c r="F27" s="1378"/>
      <c r="G27" s="1378"/>
      <c r="H27" s="1378"/>
      <c r="I27" s="1378"/>
      <c r="J27" s="1378"/>
      <c r="K27" s="1378"/>
      <c r="L27" s="1378"/>
      <c r="M27" s="1378"/>
      <c r="N27" s="1378"/>
      <c r="O27" s="1378"/>
      <c r="P27" s="1378"/>
      <c r="Q27" s="1378"/>
      <c r="R27" s="1378"/>
      <c r="CF27" s="10">
        <v>11</v>
      </c>
    </row>
    <row r="28" spans="1:84" ht="11.45" customHeight="1">
      <c r="CF28" s="10">
        <v>11</v>
      </c>
    </row>
    <row r="29" spans="1:84" ht="11.25" hidden="1" customHeight="1">
      <c r="A29" s="352" t="s">
        <v>80</v>
      </c>
      <c r="B29" s="7">
        <v>0</v>
      </c>
      <c r="C29" s="10">
        <v>3</v>
      </c>
      <c r="D29" s="10">
        <v>0</v>
      </c>
      <c r="E29" s="10">
        <v>7</v>
      </c>
      <c r="F29" s="10">
        <v>7</v>
      </c>
      <c r="G29" s="10">
        <v>29</v>
      </c>
      <c r="H29" s="10">
        <v>3</v>
      </c>
      <c r="I29" s="10">
        <v>5</v>
      </c>
      <c r="J29" s="10">
        <v>24</v>
      </c>
      <c r="K29" s="10">
        <v>24</v>
      </c>
      <c r="L29" s="10">
        <v>3</v>
      </c>
      <c r="M29" s="10">
        <v>6</v>
      </c>
      <c r="N29" s="10">
        <v>25</v>
      </c>
      <c r="O29" s="10">
        <v>18</v>
      </c>
      <c r="P29" s="10">
        <v>18</v>
      </c>
      <c r="Q29" s="10">
        <v>18</v>
      </c>
      <c r="R29" s="10">
        <v>18</v>
      </c>
      <c r="S29" s="10">
        <v>93</v>
      </c>
      <c r="T29" s="10">
        <v>10</v>
      </c>
      <c r="U29" s="65">
        <v>10</v>
      </c>
      <c r="V29" s="65">
        <v>11</v>
      </c>
      <c r="W29" s="7">
        <v>10</v>
      </c>
      <c r="X29" s="7">
        <v>10</v>
      </c>
      <c r="Y29" s="7">
        <v>10</v>
      </c>
      <c r="Z29" s="7">
        <v>10</v>
      </c>
      <c r="AA29" s="7">
        <v>10</v>
      </c>
      <c r="AB29" s="10">
        <v>8</v>
      </c>
      <c r="AC29" s="10">
        <v>8</v>
      </c>
      <c r="AD29" s="10">
        <v>8</v>
      </c>
      <c r="AE29" s="10">
        <v>8</v>
      </c>
      <c r="AF29" s="10">
        <v>8</v>
      </c>
      <c r="AG29" s="10">
        <v>8</v>
      </c>
      <c r="AH29" s="10">
        <v>8</v>
      </c>
      <c r="AI29" s="10">
        <v>8</v>
      </c>
      <c r="AJ29" s="10">
        <v>8</v>
      </c>
      <c r="AK29" s="10">
        <v>8</v>
      </c>
      <c r="AL29" s="10">
        <v>8</v>
      </c>
      <c r="AM29" s="10">
        <v>8</v>
      </c>
      <c r="AN29" s="10">
        <v>8</v>
      </c>
      <c r="AO29" s="10">
        <v>8</v>
      </c>
      <c r="AP29" s="10">
        <v>8</v>
      </c>
      <c r="AQ29" s="10">
        <v>8</v>
      </c>
      <c r="AR29" s="10">
        <v>8</v>
      </c>
      <c r="AS29" s="10">
        <v>8</v>
      </c>
      <c r="AT29" s="10">
        <v>8</v>
      </c>
      <c r="AU29" s="10">
        <v>8</v>
      </c>
      <c r="AV29" s="10">
        <v>8</v>
      </c>
      <c r="AW29" s="10">
        <v>8</v>
      </c>
      <c r="AX29" s="10">
        <v>8</v>
      </c>
      <c r="AY29" s="10">
        <v>8</v>
      </c>
      <c r="AZ29" s="10">
        <v>8</v>
      </c>
      <c r="BA29" s="10">
        <v>8</v>
      </c>
      <c r="BB29" s="10">
        <v>8</v>
      </c>
      <c r="BC29" s="10">
        <v>8</v>
      </c>
      <c r="BD29" s="10">
        <v>8</v>
      </c>
      <c r="BE29" s="10">
        <v>8</v>
      </c>
      <c r="BF29" s="10">
        <v>8</v>
      </c>
      <c r="BG29" s="10">
        <v>8</v>
      </c>
      <c r="BH29" s="10">
        <v>8</v>
      </c>
      <c r="BI29" s="10">
        <v>8</v>
      </c>
      <c r="BJ29" s="10">
        <v>8</v>
      </c>
      <c r="BK29" s="10">
        <v>8</v>
      </c>
      <c r="BL29" s="10">
        <v>8</v>
      </c>
      <c r="BM29" s="10">
        <v>8</v>
      </c>
      <c r="BN29" s="10">
        <v>8</v>
      </c>
      <c r="BO29" s="10">
        <v>8</v>
      </c>
      <c r="BP29" s="10">
        <v>8</v>
      </c>
      <c r="BQ29" s="10">
        <v>8</v>
      </c>
      <c r="BR29" s="10">
        <v>8</v>
      </c>
      <c r="BS29" s="10">
        <v>8</v>
      </c>
      <c r="BT29" s="10">
        <v>8</v>
      </c>
      <c r="BU29" s="10">
        <v>8</v>
      </c>
      <c r="BV29" s="10">
        <v>8</v>
      </c>
      <c r="BW29" s="10">
        <v>8</v>
      </c>
      <c r="BX29" s="10">
        <v>8</v>
      </c>
      <c r="BY29" s="10">
        <v>8</v>
      </c>
      <c r="BZ29" s="10">
        <v>8</v>
      </c>
      <c r="CA29" s="10">
        <v>8</v>
      </c>
      <c r="CB29" s="10">
        <v>8</v>
      </c>
      <c r="CC29" s="10">
        <v>8</v>
      </c>
      <c r="CD29" s="10">
        <v>8</v>
      </c>
      <c r="CE29" s="10">
        <v>8</v>
      </c>
      <c r="CF29" s="1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569" hidden="1" customWidth="1"/>
    <col min="6" max="6" width="16.85546875" style="60" hidden="1" customWidth="1"/>
    <col min="7" max="7" width="5.5703125" style="65" hidden="1" customWidth="1"/>
    <col min="8" max="8" width="3" style="10" customWidth="1"/>
    <col min="9" max="9" width="7" style="10" customWidth="1"/>
    <col min="10" max="10" width="56" style="10" customWidth="1"/>
    <col min="11" max="11" width="10" style="10" customWidth="1"/>
    <col min="12" max="12" width="40.5703125" style="10" hidden="1" customWidth="1"/>
    <col min="13" max="13" width="40.7109375" style="10" customWidth="1"/>
    <col min="14" max="14" width="9.7109375" style="60" hidden="1" customWidth="1"/>
    <col min="15" max="15" width="102" style="10" customWidth="1"/>
    <col min="16" max="16" width="9" style="60" customWidth="1"/>
    <col min="17" max="17" width="5" style="65" customWidth="1"/>
    <col min="18" max="18" width="3" style="65" customWidth="1"/>
    <col min="19" max="22" width="3" style="60" customWidth="1"/>
    <col min="23" max="23" width="10" style="65" customWidth="1"/>
    <col min="24" max="24" width="34" style="60" customWidth="1"/>
    <col min="25" max="25" width="9" style="60" customWidth="1"/>
    <col min="26" max="26" width="8" style="306" customWidth="1"/>
    <col min="27" max="31" width="8" style="60" customWidth="1"/>
    <col min="32" max="36" width="8" style="7" customWidth="1"/>
    <col min="37" max="37" width="5.42578125" style="10" hidden="1" customWidth="1"/>
  </cols>
  <sheetData>
    <row r="1" spans="1:37" s="60" customFormat="1" ht="33.75" hidden="1" customHeight="1">
      <c r="A1" s="569"/>
      <c r="B1" s="569"/>
      <c r="C1" s="569"/>
      <c r="D1" s="569"/>
      <c r="E1" s="569"/>
      <c r="G1" s="65"/>
      <c r="L1" s="60">
        <v>4</v>
      </c>
      <c r="M1" s="60">
        <v>4</v>
      </c>
      <c r="Q1" s="65"/>
      <c r="R1" s="65"/>
      <c r="W1" s="65"/>
      <c r="AK1" s="60" t="s">
        <v>14</v>
      </c>
    </row>
    <row r="2" spans="1:37" s="60" customFormat="1" ht="78.75" hidden="1" customHeight="1">
      <c r="A2" s="569"/>
      <c r="B2" s="1085" t="s">
        <v>614</v>
      </c>
      <c r="C2" s="1085" t="s">
        <v>615</v>
      </c>
      <c r="D2" s="1084" t="s">
        <v>616</v>
      </c>
      <c r="E2" s="1087" t="e">
        <f>RIGHT(I2,LEN(I2)-SEARCH("#",SUBSTITUTE(I2,".","#",LEN(I2)-LEN(SUBSTITUTE(I2,".","")))))</f>
        <v>#VALUE!</v>
      </c>
      <c r="F2" s="1087">
        <f>J2</f>
        <v>0</v>
      </c>
      <c r="G2" s="65"/>
      <c r="H2" s="341"/>
      <c r="I2" s="42"/>
      <c r="J2" s="302"/>
      <c r="K2" s="392" t="s">
        <v>555</v>
      </c>
      <c r="L2" s="303"/>
      <c r="M2" s="303"/>
      <c r="N2" s="305"/>
      <c r="O2" s="64" t="s">
        <v>556</v>
      </c>
      <c r="P2" s="305"/>
      <c r="Q2" s="65"/>
      <c r="R2" s="65"/>
      <c r="W2" s="65"/>
      <c r="Z2" s="306"/>
      <c r="AF2" s="7"/>
      <c r="AG2" s="7"/>
      <c r="AH2" s="7"/>
      <c r="AI2" s="7"/>
      <c r="AJ2" s="7"/>
      <c r="AK2" s="60">
        <v>0</v>
      </c>
    </row>
    <row r="3" spans="1:37" ht="11.25" hidden="1" customHeight="1">
      <c r="E3" s="1083" t="s">
        <v>617</v>
      </c>
      <c r="L3" s="10">
        <f>0</f>
        <v>0</v>
      </c>
      <c r="M3" s="10">
        <v>1</v>
      </c>
      <c r="AK3" s="10">
        <v>0</v>
      </c>
    </row>
    <row r="4" spans="1:37" s="7" customFormat="1" ht="11.25" hidden="1" customHeight="1">
      <c r="A4" s="569"/>
      <c r="B4" s="569"/>
      <c r="C4" s="569"/>
      <c r="E4" s="569"/>
      <c r="F4" s="60"/>
      <c r="G4" s="65"/>
      <c r="N4" s="60"/>
      <c r="O4" s="7">
        <v>4</v>
      </c>
      <c r="P4" s="60"/>
      <c r="Q4" s="65"/>
      <c r="R4" s="65"/>
      <c r="S4" s="60"/>
      <c r="T4" s="60"/>
      <c r="U4" s="60"/>
      <c r="V4" s="60"/>
      <c r="W4" s="65"/>
      <c r="X4" s="60"/>
      <c r="Y4" s="60"/>
      <c r="Z4" s="306"/>
      <c r="AA4" s="60"/>
      <c r="AB4" s="60"/>
      <c r="AC4" s="60"/>
      <c r="AD4" s="60"/>
      <c r="AE4" s="60"/>
      <c r="AK4" s="7">
        <v>0</v>
      </c>
    </row>
    <row r="5" spans="1:37" ht="11.45" customHeight="1">
      <c r="AK5" s="10">
        <v>11</v>
      </c>
    </row>
    <row r="6" spans="1:37" ht="57.75" customHeight="1">
      <c r="I6" s="1215" t="s">
        <v>618</v>
      </c>
      <c r="J6" s="1215"/>
      <c r="K6" s="1215"/>
      <c r="L6" s="1215"/>
      <c r="M6" s="1215"/>
      <c r="O6" s="57"/>
      <c r="AK6" s="10">
        <v>55</v>
      </c>
    </row>
    <row r="7" spans="1:37" ht="25.15" customHeight="1">
      <c r="I7" s="1236" t="str">
        <f>IF(org=0,"Не определено",org)</f>
        <v>Общество с ограниченной ответственностью "Березовский рудник"</v>
      </c>
      <c r="J7" s="1236"/>
      <c r="K7" s="1236"/>
      <c r="L7" s="1236"/>
      <c r="M7" s="1236"/>
      <c r="AK7" s="10">
        <v>24</v>
      </c>
    </row>
    <row r="8" spans="1:37" ht="11.45" customHeight="1">
      <c r="I8" s="664"/>
      <c r="J8" s="664"/>
      <c r="K8" s="664"/>
      <c r="L8" s="664"/>
      <c r="M8" s="664"/>
      <c r="AK8" s="10">
        <v>11</v>
      </c>
    </row>
    <row r="9" spans="1:37" s="65" customFormat="1" ht="30" hidden="1" customHeight="1">
      <c r="A9" s="310"/>
      <c r="B9" s="310"/>
      <c r="C9" s="310"/>
      <c r="E9" s="310"/>
      <c r="L9" s="511"/>
      <c r="M9" s="511" t="s">
        <v>115</v>
      </c>
      <c r="AK9" s="65">
        <v>1</v>
      </c>
    </row>
    <row r="10" spans="1:37" ht="11.45" customHeight="1">
      <c r="E10" s="1082" t="s">
        <v>619</v>
      </c>
      <c r="I10" s="406"/>
      <c r="J10" s="1370" t="s">
        <v>103</v>
      </c>
      <c r="K10" s="1371"/>
      <c r="L10" s="856" t="str">
        <f>IF(L9="","",INDEX(DIFFERENTIATION_UNMERGE_VD,MATCH(L9,DIFFERENTIATION_ID_DIFF,0)))</f>
        <v/>
      </c>
      <c r="M10" s="856">
        <f>IF(M9="","",INDEX(DIFFERENTIATION_UNMERGE_VD,MATCH(M9,DIFFERENTIATION_ID_DIFF,0)))</f>
        <v>0</v>
      </c>
      <c r="O10" s="1146" t="s">
        <v>301</v>
      </c>
      <c r="AK10" s="10">
        <v>11</v>
      </c>
    </row>
    <row r="11" spans="1:37" ht="11.45" customHeight="1">
      <c r="E11" s="1082" t="s">
        <v>620</v>
      </c>
      <c r="I11" s="406"/>
      <c r="J11" s="1370" t="s">
        <v>563</v>
      </c>
      <c r="K11" s="1371"/>
      <c r="L11" s="856" t="str">
        <f>IF(L9="","",INDEX(DIFFERENTIATION_UNMERGE_AREA,MATCH(L9,DIFFERENTIATION_ID_DIFF,0)))</f>
        <v/>
      </c>
      <c r="M11" s="856" t="str">
        <f>IF(M9="","",INDEX(DIFFERENTIATION_UNMERGE_AREA,MATCH(M9,DIFFERENTIATION_ID_DIFF,0)))</f>
        <v/>
      </c>
      <c r="O11" s="1146"/>
      <c r="AK11" s="10">
        <v>11</v>
      </c>
    </row>
    <row r="12" spans="1:37" ht="11.45" customHeight="1">
      <c r="E12" s="1082" t="s">
        <v>621</v>
      </c>
      <c r="I12" s="894"/>
      <c r="J12" s="1370" t="s">
        <v>564</v>
      </c>
      <c r="K12" s="1371"/>
      <c r="L12" s="856" t="str">
        <f>IF(L9="","",INDEX(DIFFERENTIATION_UNMERGE_SYSTEM,MATCH(L9,DIFFERENTIATION_ID_DIFF,0)))</f>
        <v/>
      </c>
      <c r="M12" s="856" t="str">
        <f>IF(M9="","",INDEX(DIFFERENTIATION_UNMERGE_SYSTEM,MATCH(M9,DIFFERENTIATION_ID_DIFF,0)))</f>
        <v>без дифференциации</v>
      </c>
      <c r="O12" s="1146"/>
      <c r="AK12" s="10">
        <v>11</v>
      </c>
    </row>
    <row r="13" spans="1:37" ht="11.45" customHeight="1">
      <c r="E13" s="1082" t="s">
        <v>622</v>
      </c>
      <c r="F13" s="1082" t="s">
        <v>623</v>
      </c>
      <c r="I13" s="1372" t="s">
        <v>300</v>
      </c>
      <c r="J13" s="1373"/>
      <c r="K13" s="1373"/>
      <c r="L13" s="509"/>
      <c r="M13" s="1088"/>
      <c r="O13" s="1146"/>
      <c r="AK13" s="10">
        <v>11</v>
      </c>
    </row>
    <row r="14" spans="1:37" ht="24" customHeight="1">
      <c r="I14" s="40" t="s">
        <v>86</v>
      </c>
      <c r="J14" s="40" t="s">
        <v>302</v>
      </c>
      <c r="K14" s="40" t="s">
        <v>565</v>
      </c>
      <c r="L14" s="386" t="s">
        <v>303</v>
      </c>
      <c r="M14" s="40" t="s">
        <v>303</v>
      </c>
      <c r="O14" s="1146"/>
      <c r="AK14" s="10">
        <v>23</v>
      </c>
    </row>
    <row r="15" spans="1:37" ht="24" customHeight="1">
      <c r="A15" s="1086"/>
      <c r="B15" s="1085" t="s">
        <v>624</v>
      </c>
      <c r="C15" s="1085" t="s">
        <v>625</v>
      </c>
      <c r="D15" s="1084" t="s">
        <v>626</v>
      </c>
      <c r="E15" s="1087" t="s">
        <v>627</v>
      </c>
      <c r="F15" s="1087" t="s">
        <v>627</v>
      </c>
      <c r="G15" s="65" t="s">
        <v>587</v>
      </c>
      <c r="H15" s="53"/>
      <c r="I15" s="892">
        <v>1</v>
      </c>
      <c r="J15" s="150" t="s">
        <v>628</v>
      </c>
      <c r="K15" s="40" t="s">
        <v>306</v>
      </c>
      <c r="L15" s="372"/>
      <c r="M15" s="225"/>
      <c r="N15" s="305" t="s">
        <v>629</v>
      </c>
      <c r="O15" s="64" t="s">
        <v>630</v>
      </c>
      <c r="P15" s="305" t="s">
        <v>629</v>
      </c>
      <c r="AK15" s="10">
        <v>23</v>
      </c>
    </row>
    <row r="16" spans="1:37" ht="35.65" customHeight="1">
      <c r="A16" s="1086"/>
      <c r="B16" s="1085" t="s">
        <v>631</v>
      </c>
      <c r="C16" s="1085" t="s">
        <v>632</v>
      </c>
      <c r="D16" s="1084" t="s">
        <v>616</v>
      </c>
      <c r="E16" s="1087" t="s">
        <v>627</v>
      </c>
      <c r="F16" s="1087" t="s">
        <v>627</v>
      </c>
      <c r="H16" s="53"/>
      <c r="I16" s="891">
        <v>2</v>
      </c>
      <c r="J16" s="876" t="s">
        <v>633</v>
      </c>
      <c r="K16" s="337" t="s">
        <v>555</v>
      </c>
      <c r="L16" s="1089"/>
      <c r="M16" s="899"/>
      <c r="N16" s="305" t="s">
        <v>629</v>
      </c>
      <c r="O16" s="64" t="s">
        <v>634</v>
      </c>
      <c r="P16" s="305" t="s">
        <v>629</v>
      </c>
      <c r="AK16" s="10">
        <v>34</v>
      </c>
    </row>
    <row r="17" spans="1:37" s="65" customFormat="1" ht="17.25" hidden="1" customHeight="1">
      <c r="A17" s="310"/>
      <c r="B17" s="310"/>
      <c r="C17" s="310"/>
      <c r="D17" s="310"/>
      <c r="E17" s="310"/>
      <c r="H17" s="310"/>
      <c r="I17" s="313" t="s">
        <v>635</v>
      </c>
      <c r="J17" s="573"/>
      <c r="K17" s="313"/>
      <c r="L17" s="574"/>
      <c r="M17" s="574"/>
      <c r="O17" s="778"/>
      <c r="AK17" s="65">
        <v>1</v>
      </c>
    </row>
    <row r="18" spans="1:37" s="60" customFormat="1" ht="24" customHeight="1">
      <c r="A18" s="569"/>
      <c r="B18" s="569"/>
      <c r="C18" s="569"/>
      <c r="D18" s="569"/>
      <c r="E18" s="569"/>
      <c r="G18" s="65"/>
      <c r="H18" s="74"/>
      <c r="I18" s="330"/>
      <c r="J18" s="108" t="s">
        <v>585</v>
      </c>
      <c r="K18" s="331"/>
      <c r="L18" s="1091"/>
      <c r="M18" s="332"/>
      <c r="N18" s="305"/>
      <c r="O18" s="64" t="s">
        <v>586</v>
      </c>
      <c r="P18" s="305"/>
      <c r="Q18" s="65"/>
      <c r="R18" s="65"/>
      <c r="W18" s="65"/>
      <c r="Z18" s="306"/>
      <c r="AF18" s="7"/>
      <c r="AG18" s="7"/>
      <c r="AH18" s="7"/>
      <c r="AI18" s="7"/>
      <c r="AJ18" s="7"/>
      <c r="AK18" s="60">
        <v>23</v>
      </c>
    </row>
    <row r="19" spans="1:37" ht="19.899999999999999" customHeight="1">
      <c r="A19" s="1086"/>
      <c r="B19" s="1085" t="s">
        <v>636</v>
      </c>
      <c r="C19" s="1085" t="s">
        <v>637</v>
      </c>
      <c r="D19" s="1084" t="s">
        <v>616</v>
      </c>
      <c r="E19" s="1087" t="s">
        <v>627</v>
      </c>
      <c r="F19" s="1087" t="s">
        <v>627</v>
      </c>
      <c r="H19" s="53"/>
      <c r="I19" s="896">
        <v>3</v>
      </c>
      <c r="J19" s="150" t="s">
        <v>637</v>
      </c>
      <c r="K19" s="396" t="s">
        <v>555</v>
      </c>
      <c r="L19" s="421"/>
      <c r="M19" s="318"/>
      <c r="N19" s="305"/>
      <c r="O19" s="64" t="s">
        <v>638</v>
      </c>
      <c r="P19" s="305"/>
      <c r="AK19" s="10">
        <v>19</v>
      </c>
    </row>
    <row r="20" spans="1:37" ht="77.650000000000006" customHeight="1">
      <c r="A20" s="1086"/>
      <c r="B20" s="1085" t="s">
        <v>639</v>
      </c>
      <c r="C20" s="1085" t="s">
        <v>640</v>
      </c>
      <c r="D20" s="1084" t="s">
        <v>616</v>
      </c>
      <c r="E20" s="1087" t="s">
        <v>627</v>
      </c>
      <c r="F20" s="1087" t="s">
        <v>627</v>
      </c>
      <c r="H20" s="53"/>
      <c r="I20" s="896">
        <v>4</v>
      </c>
      <c r="J20" s="150" t="s">
        <v>641</v>
      </c>
      <c r="K20" s="396" t="s">
        <v>582</v>
      </c>
      <c r="L20" s="421"/>
      <c r="M20" s="318"/>
      <c r="N20" s="305"/>
      <c r="O20" s="64"/>
      <c r="P20" s="305"/>
      <c r="AK20" s="10">
        <v>74</v>
      </c>
    </row>
    <row r="21" spans="1:37" ht="35.65" customHeight="1">
      <c r="A21" s="1086"/>
      <c r="B21" s="1085" t="s">
        <v>642</v>
      </c>
      <c r="C21" s="1085" t="s">
        <v>643</v>
      </c>
      <c r="D21" s="1084" t="s">
        <v>616</v>
      </c>
      <c r="E21" s="1087" t="s">
        <v>627</v>
      </c>
      <c r="F21" s="1087" t="s">
        <v>627</v>
      </c>
      <c r="H21" s="53"/>
      <c r="I21" s="896">
        <v>5</v>
      </c>
      <c r="J21" s="150" t="s">
        <v>644</v>
      </c>
      <c r="K21" s="396" t="s">
        <v>582</v>
      </c>
      <c r="L21" s="421"/>
      <c r="M21" s="318"/>
      <c r="N21" s="305"/>
      <c r="O21" s="64" t="s">
        <v>638</v>
      </c>
      <c r="P21" s="305"/>
      <c r="AK21" s="10">
        <v>34</v>
      </c>
    </row>
    <row r="22" spans="1:37" ht="48.2" customHeight="1">
      <c r="A22" s="1086"/>
      <c r="B22" s="1085" t="s">
        <v>645</v>
      </c>
      <c r="C22" s="1085" t="s">
        <v>646</v>
      </c>
      <c r="D22" s="1084" t="s">
        <v>616</v>
      </c>
      <c r="E22" s="1087" t="s">
        <v>627</v>
      </c>
      <c r="F22" s="1087" t="s">
        <v>627</v>
      </c>
      <c r="H22" s="53"/>
      <c r="I22" s="896">
        <v>6</v>
      </c>
      <c r="J22" s="150" t="s">
        <v>647</v>
      </c>
      <c r="K22" s="396" t="s">
        <v>582</v>
      </c>
      <c r="L22" s="421"/>
      <c r="M22" s="318"/>
      <c r="N22" s="305"/>
      <c r="O22" s="64" t="s">
        <v>648</v>
      </c>
      <c r="P22" s="305"/>
      <c r="AK22" s="10">
        <v>46</v>
      </c>
    </row>
    <row r="23" spans="1:37" ht="19.899999999999999" customHeight="1">
      <c r="A23" s="1086"/>
      <c r="B23" s="1085" t="s">
        <v>649</v>
      </c>
      <c r="C23" s="1085" t="s">
        <v>650</v>
      </c>
      <c r="D23" s="1084" t="s">
        <v>616</v>
      </c>
      <c r="E23" s="1087" t="s">
        <v>627</v>
      </c>
      <c r="F23" s="1087" t="s">
        <v>627</v>
      </c>
      <c r="H23" s="53"/>
      <c r="I23" s="896" t="s">
        <v>651</v>
      </c>
      <c r="J23" s="320" t="s">
        <v>652</v>
      </c>
      <c r="K23" s="396" t="s">
        <v>582</v>
      </c>
      <c r="L23" s="421"/>
      <c r="M23" s="318"/>
      <c r="N23" s="305"/>
      <c r="O23" s="64" t="s">
        <v>638</v>
      </c>
      <c r="P23" s="305"/>
      <c r="AK23" s="10">
        <v>19</v>
      </c>
    </row>
    <row r="24" spans="1:37" ht="19.899999999999999" customHeight="1">
      <c r="A24" s="1086"/>
      <c r="B24" s="1085" t="s">
        <v>653</v>
      </c>
      <c r="C24" s="1085" t="s">
        <v>654</v>
      </c>
      <c r="D24" s="1084" t="s">
        <v>616</v>
      </c>
      <c r="E24" s="1087" t="s">
        <v>627</v>
      </c>
      <c r="F24" s="1087" t="s">
        <v>627</v>
      </c>
      <c r="H24" s="53"/>
      <c r="I24" s="896" t="s">
        <v>655</v>
      </c>
      <c r="J24" s="320" t="s">
        <v>656</v>
      </c>
      <c r="K24" s="396" t="s">
        <v>582</v>
      </c>
      <c r="L24" s="421"/>
      <c r="M24" s="318"/>
      <c r="N24" s="305"/>
      <c r="O24" s="64"/>
      <c r="P24" s="305"/>
      <c r="AK24" s="10">
        <v>19</v>
      </c>
    </row>
    <row r="25" spans="1:37" ht="24" customHeight="1">
      <c r="A25" s="1086"/>
      <c r="B25" s="1085" t="s">
        <v>657</v>
      </c>
      <c r="C25" s="1085" t="s">
        <v>658</v>
      </c>
      <c r="D25" s="1084" t="s">
        <v>616</v>
      </c>
      <c r="E25" s="1087" t="s">
        <v>627</v>
      </c>
      <c r="F25" s="1087" t="s">
        <v>627</v>
      </c>
      <c r="H25" s="53"/>
      <c r="I25" s="896" t="s">
        <v>659</v>
      </c>
      <c r="J25" s="320" t="s">
        <v>660</v>
      </c>
      <c r="K25" s="396" t="s">
        <v>582</v>
      </c>
      <c r="L25" s="421"/>
      <c r="M25" s="318"/>
      <c r="N25" s="305"/>
      <c r="O25" s="64"/>
      <c r="P25" s="305"/>
      <c r="AK25" s="10">
        <v>23</v>
      </c>
    </row>
    <row r="26" spans="1:37" ht="24" customHeight="1">
      <c r="A26" s="1086"/>
      <c r="B26" s="1085" t="s">
        <v>661</v>
      </c>
      <c r="C26" s="1085" t="s">
        <v>662</v>
      </c>
      <c r="D26" s="1084" t="s">
        <v>616</v>
      </c>
      <c r="E26" s="1087" t="s">
        <v>627</v>
      </c>
      <c r="F26" s="1087" t="s">
        <v>627</v>
      </c>
      <c r="H26" s="53"/>
      <c r="I26" s="896">
        <v>7</v>
      </c>
      <c r="J26" s="150" t="s">
        <v>662</v>
      </c>
      <c r="K26" s="396" t="s">
        <v>663</v>
      </c>
      <c r="L26" s="421"/>
      <c r="M26" s="318"/>
      <c r="N26" s="305"/>
      <c r="O26" s="64"/>
      <c r="P26" s="305"/>
      <c r="AK26" s="10">
        <v>23</v>
      </c>
    </row>
    <row r="27" spans="1:37" ht="24" customHeight="1">
      <c r="A27" s="1086"/>
      <c r="B27" s="1085" t="s">
        <v>664</v>
      </c>
      <c r="C27" s="1085" t="s">
        <v>665</v>
      </c>
      <c r="D27" s="1084" t="s">
        <v>616</v>
      </c>
      <c r="E27" s="1087" t="s">
        <v>627</v>
      </c>
      <c r="F27" s="1087" t="s">
        <v>627</v>
      </c>
      <c r="H27" s="53"/>
      <c r="I27" s="896">
        <v>8</v>
      </c>
      <c r="J27" s="150" t="s">
        <v>665</v>
      </c>
      <c r="K27" s="396" t="s">
        <v>588</v>
      </c>
      <c r="L27" s="421"/>
      <c r="M27" s="318"/>
      <c r="N27" s="305"/>
      <c r="O27" s="64"/>
      <c r="P27" s="305"/>
      <c r="AK27" s="10">
        <v>23</v>
      </c>
    </row>
    <row r="28" spans="1:37" ht="35.65" customHeight="1">
      <c r="A28" s="1086"/>
      <c r="B28" s="1085" t="s">
        <v>666</v>
      </c>
      <c r="C28" s="1085" t="s">
        <v>667</v>
      </c>
      <c r="D28" s="1084" t="s">
        <v>616</v>
      </c>
      <c r="E28" s="1087" t="s">
        <v>627</v>
      </c>
      <c r="F28" s="1087" t="s">
        <v>627</v>
      </c>
      <c r="H28" s="53"/>
      <c r="I28" s="898">
        <v>9</v>
      </c>
      <c r="J28" s="150" t="s">
        <v>668</v>
      </c>
      <c r="K28" s="396" t="s">
        <v>559</v>
      </c>
      <c r="L28" s="421"/>
      <c r="M28" s="318"/>
      <c r="N28" s="305"/>
      <c r="O28" s="64"/>
      <c r="P28" s="305"/>
      <c r="AK28" s="10">
        <v>34</v>
      </c>
    </row>
    <row r="29" spans="1:37" ht="35.65" customHeight="1">
      <c r="A29" s="1086"/>
      <c r="B29" s="1085" t="s">
        <v>669</v>
      </c>
      <c r="C29" s="1085" t="s">
        <v>670</v>
      </c>
      <c r="D29" s="1084" t="s">
        <v>616</v>
      </c>
      <c r="E29" s="1087" t="s">
        <v>627</v>
      </c>
      <c r="F29" s="1087" t="s">
        <v>627</v>
      </c>
      <c r="H29" s="53"/>
      <c r="I29" s="898">
        <v>10</v>
      </c>
      <c r="J29" s="150" t="s">
        <v>671</v>
      </c>
      <c r="K29" s="396" t="s">
        <v>559</v>
      </c>
      <c r="L29" s="421"/>
      <c r="M29" s="318"/>
      <c r="N29" s="305"/>
      <c r="O29" s="64"/>
      <c r="P29" s="305"/>
      <c r="AK29" s="10">
        <v>34</v>
      </c>
    </row>
    <row r="30" spans="1:37" ht="24" customHeight="1">
      <c r="A30" s="1086"/>
      <c r="B30" s="1085" t="s">
        <v>672</v>
      </c>
      <c r="C30" s="1085" t="s">
        <v>673</v>
      </c>
      <c r="D30" s="1084" t="s">
        <v>616</v>
      </c>
      <c r="E30" s="1087" t="s">
        <v>627</v>
      </c>
      <c r="F30" s="1087" t="s">
        <v>627</v>
      </c>
      <c r="H30" s="53"/>
      <c r="I30" s="898">
        <v>11</v>
      </c>
      <c r="J30" s="150" t="s">
        <v>673</v>
      </c>
      <c r="K30" s="396" t="s">
        <v>589</v>
      </c>
      <c r="L30" s="1090"/>
      <c r="M30" s="889"/>
      <c r="N30" s="305"/>
      <c r="O30" s="64"/>
      <c r="P30" s="305"/>
      <c r="AK30" s="10">
        <v>23</v>
      </c>
    </row>
    <row r="31" spans="1:37" ht="24" customHeight="1">
      <c r="A31" s="1086"/>
      <c r="B31" s="1085" t="s">
        <v>674</v>
      </c>
      <c r="C31" s="1085" t="s">
        <v>675</v>
      </c>
      <c r="D31" s="1084" t="s">
        <v>616</v>
      </c>
      <c r="E31" s="1087" t="s">
        <v>627</v>
      </c>
      <c r="F31" s="1087" t="s">
        <v>627</v>
      </c>
      <c r="H31" s="53"/>
      <c r="I31" s="898">
        <v>12</v>
      </c>
      <c r="J31" s="150" t="s">
        <v>675</v>
      </c>
      <c r="K31" s="396" t="s">
        <v>589</v>
      </c>
      <c r="L31" s="1090"/>
      <c r="M31" s="889"/>
      <c r="N31" s="305"/>
      <c r="O31" s="64"/>
      <c r="P31" s="305"/>
      <c r="AK31" s="10">
        <v>23</v>
      </c>
    </row>
    <row r="32" spans="1:37" ht="48.2" customHeight="1">
      <c r="A32" s="1086"/>
      <c r="B32" s="1085" t="s">
        <v>676</v>
      </c>
      <c r="C32" s="1085" t="s">
        <v>677</v>
      </c>
      <c r="D32" s="1084" t="s">
        <v>616</v>
      </c>
      <c r="E32" s="1087" t="s">
        <v>627</v>
      </c>
      <c r="F32" s="1087" t="s">
        <v>627</v>
      </c>
      <c r="H32" s="53"/>
      <c r="I32" s="898">
        <v>13</v>
      </c>
      <c r="J32" s="150" t="s">
        <v>678</v>
      </c>
      <c r="K32" s="396" t="s">
        <v>599</v>
      </c>
      <c r="L32" s="421"/>
      <c r="M32" s="318"/>
      <c r="N32" s="305"/>
      <c r="O32" s="64" t="s">
        <v>638</v>
      </c>
      <c r="P32" s="305"/>
      <c r="AK32" s="10">
        <v>46</v>
      </c>
    </row>
    <row r="33" spans="1:37" s="60" customFormat="1" ht="48.2" customHeight="1">
      <c r="A33" s="1086"/>
      <c r="B33" s="1085" t="s">
        <v>679</v>
      </c>
      <c r="C33" s="1085" t="s">
        <v>680</v>
      </c>
      <c r="D33" s="1084" t="s">
        <v>616</v>
      </c>
      <c r="E33" s="1087" t="s">
        <v>627</v>
      </c>
      <c r="F33" s="1087" t="s">
        <v>627</v>
      </c>
      <c r="G33" s="65"/>
      <c r="H33" s="53"/>
      <c r="I33" s="898">
        <v>14</v>
      </c>
      <c r="J33" s="876" t="s">
        <v>681</v>
      </c>
      <c r="K33" s="861" t="s">
        <v>682</v>
      </c>
      <c r="L33" s="421"/>
      <c r="M33" s="318"/>
      <c r="N33" s="305"/>
      <c r="O33" s="64" t="s">
        <v>638</v>
      </c>
      <c r="P33" s="305"/>
      <c r="Q33" s="65"/>
      <c r="R33" s="65"/>
      <c r="W33" s="65"/>
      <c r="Z33" s="306"/>
      <c r="AF33" s="7"/>
      <c r="AG33" s="7"/>
      <c r="AH33" s="7"/>
      <c r="AI33" s="7"/>
      <c r="AJ33" s="7"/>
      <c r="AK33" s="60">
        <v>46</v>
      </c>
    </row>
    <row r="34" spans="1:37" ht="108" customHeight="1">
      <c r="A34" s="1086"/>
      <c r="B34" s="1085" t="s">
        <v>683</v>
      </c>
      <c r="C34" s="1085" t="s">
        <v>684</v>
      </c>
      <c r="D34" s="1084" t="s">
        <v>626</v>
      </c>
      <c r="E34" s="1087" t="s">
        <v>627</v>
      </c>
      <c r="F34" s="1087" t="s">
        <v>627</v>
      </c>
      <c r="G34" s="65" t="s">
        <v>587</v>
      </c>
      <c r="H34" s="53"/>
      <c r="I34" s="42">
        <v>15</v>
      </c>
      <c r="J34" s="150" t="s">
        <v>685</v>
      </c>
      <c r="K34" s="396" t="s">
        <v>306</v>
      </c>
      <c r="L34" s="217"/>
      <c r="M34" s="114"/>
      <c r="N34" s="305"/>
      <c r="O34" s="64" t="s">
        <v>630</v>
      </c>
      <c r="P34" s="305"/>
      <c r="AK34" s="10">
        <v>103</v>
      </c>
    </row>
    <row r="35" spans="1:37" s="200" customFormat="1" ht="11.45" customHeight="1">
      <c r="A35" s="569"/>
      <c r="B35" s="569"/>
      <c r="C35" s="569"/>
      <c r="D35" s="569"/>
      <c r="E35" s="569"/>
      <c r="F35" s="65"/>
      <c r="G35" s="65"/>
      <c r="N35" s="60"/>
      <c r="P35" s="60"/>
      <c r="Q35" s="65"/>
      <c r="R35" s="65"/>
      <c r="S35" s="60"/>
      <c r="T35" s="60"/>
      <c r="U35" s="60"/>
      <c r="V35" s="60"/>
      <c r="W35" s="65"/>
      <c r="X35" s="60"/>
      <c r="Y35" s="60"/>
      <c r="Z35" s="306"/>
      <c r="AA35" s="60"/>
      <c r="AB35" s="60"/>
      <c r="AC35" s="60"/>
      <c r="AD35" s="60"/>
      <c r="AE35" s="60"/>
      <c r="AF35" s="7"/>
      <c r="AG35" s="139"/>
      <c r="AH35" s="139"/>
      <c r="AI35" s="139"/>
      <c r="AJ35" s="139"/>
      <c r="AK35" s="200">
        <v>11</v>
      </c>
    </row>
    <row r="36" spans="1:37" s="200" customFormat="1" ht="11.45" customHeight="1">
      <c r="A36" s="569"/>
      <c r="B36" s="569"/>
      <c r="C36" s="569"/>
      <c r="D36" s="569"/>
      <c r="E36" s="569"/>
      <c r="F36" s="65"/>
      <c r="G36" s="65"/>
      <c r="N36" s="60"/>
      <c r="P36" s="60"/>
      <c r="Q36" s="65"/>
      <c r="R36" s="65"/>
      <c r="S36" s="60"/>
      <c r="T36" s="60"/>
      <c r="U36" s="60"/>
      <c r="V36" s="60"/>
      <c r="W36" s="65"/>
      <c r="X36" s="60"/>
      <c r="Y36" s="60"/>
      <c r="Z36" s="306"/>
      <c r="AA36" s="60"/>
      <c r="AB36" s="60"/>
      <c r="AC36" s="60"/>
      <c r="AD36" s="60"/>
      <c r="AE36" s="60"/>
      <c r="AF36" s="7"/>
      <c r="AG36" s="139"/>
      <c r="AH36" s="139"/>
      <c r="AI36" s="139"/>
      <c r="AJ36" s="139"/>
      <c r="AK36" s="200">
        <v>11</v>
      </c>
    </row>
    <row r="37" spans="1:37" s="200" customFormat="1" ht="11.45" customHeight="1">
      <c r="A37" s="569"/>
      <c r="B37" s="569"/>
      <c r="C37" s="569"/>
      <c r="D37" s="569"/>
      <c r="E37" s="569"/>
      <c r="F37" s="65"/>
      <c r="G37" s="65"/>
      <c r="L37" s="139"/>
      <c r="M37" s="139"/>
      <c r="N37" s="60"/>
      <c r="P37" s="60"/>
      <c r="Q37" s="65"/>
      <c r="R37" s="65"/>
      <c r="S37" s="60"/>
      <c r="T37" s="60"/>
      <c r="U37" s="60"/>
      <c r="V37" s="60"/>
      <c r="W37" s="65"/>
      <c r="X37" s="60"/>
      <c r="Y37" s="60"/>
      <c r="Z37" s="306"/>
      <c r="AA37" s="60"/>
      <c r="AB37" s="60"/>
      <c r="AC37" s="60"/>
      <c r="AD37" s="60"/>
      <c r="AE37" s="60"/>
      <c r="AF37" s="7"/>
      <c r="AG37" s="139"/>
      <c r="AH37" s="139"/>
      <c r="AI37" s="139"/>
      <c r="AJ37" s="139"/>
      <c r="AK37" s="200">
        <v>11</v>
      </c>
    </row>
    <row r="38" spans="1:37" s="200" customFormat="1" ht="11.45" customHeight="1">
      <c r="A38" s="569"/>
      <c r="B38" s="569"/>
      <c r="C38" s="569"/>
      <c r="D38" s="569"/>
      <c r="E38" s="569"/>
      <c r="F38" s="65"/>
      <c r="G38" s="65"/>
      <c r="N38" s="60"/>
      <c r="P38" s="60"/>
      <c r="Q38" s="65"/>
      <c r="R38" s="65"/>
      <c r="S38" s="60"/>
      <c r="T38" s="60"/>
      <c r="U38" s="60"/>
      <c r="V38" s="60"/>
      <c r="W38" s="65"/>
      <c r="X38" s="60"/>
      <c r="Y38" s="60"/>
      <c r="Z38" s="306"/>
      <c r="AA38" s="60"/>
      <c r="AB38" s="60"/>
      <c r="AC38" s="60"/>
      <c r="AD38" s="60"/>
      <c r="AE38" s="60"/>
      <c r="AF38" s="7"/>
      <c r="AG38" s="139"/>
      <c r="AH38" s="139"/>
      <c r="AI38" s="139"/>
      <c r="AJ38" s="139"/>
      <c r="AK38" s="200">
        <v>11</v>
      </c>
    </row>
    <row r="39" spans="1:37" s="200" customFormat="1" ht="11.45" customHeight="1">
      <c r="A39" s="569"/>
      <c r="B39" s="569"/>
      <c r="C39" s="569"/>
      <c r="D39" s="569"/>
      <c r="E39" s="569"/>
      <c r="F39" s="65"/>
      <c r="G39" s="65"/>
      <c r="N39" s="60"/>
      <c r="P39" s="60"/>
      <c r="Q39" s="65"/>
      <c r="R39" s="65"/>
      <c r="S39" s="60"/>
      <c r="T39" s="60"/>
      <c r="U39" s="60"/>
      <c r="V39" s="60"/>
      <c r="W39" s="65"/>
      <c r="X39" s="60"/>
      <c r="Y39" s="60"/>
      <c r="Z39" s="306"/>
      <c r="AA39" s="60"/>
      <c r="AB39" s="60"/>
      <c r="AC39" s="60"/>
      <c r="AD39" s="60"/>
      <c r="AE39" s="60"/>
      <c r="AF39" s="7"/>
      <c r="AG39" s="139"/>
      <c r="AH39" s="139"/>
      <c r="AI39" s="139"/>
      <c r="AJ39" s="139"/>
      <c r="AK39" s="200">
        <v>11</v>
      </c>
    </row>
    <row r="40" spans="1:37" s="200" customFormat="1" ht="11.45" customHeight="1">
      <c r="A40" s="569"/>
      <c r="B40" s="569"/>
      <c r="C40" s="569"/>
      <c r="D40" s="569"/>
      <c r="E40" s="569"/>
      <c r="F40" s="65"/>
      <c r="G40" s="65"/>
      <c r="N40" s="60"/>
      <c r="P40" s="60"/>
      <c r="Q40" s="65"/>
      <c r="R40" s="65"/>
      <c r="S40" s="60"/>
      <c r="T40" s="60"/>
      <c r="U40" s="60"/>
      <c r="V40" s="60"/>
      <c r="W40" s="65"/>
      <c r="X40" s="60"/>
      <c r="Y40" s="60"/>
      <c r="Z40" s="306"/>
      <c r="AA40" s="60"/>
      <c r="AB40" s="60"/>
      <c r="AC40" s="60"/>
      <c r="AD40" s="60"/>
      <c r="AE40" s="60"/>
      <c r="AF40" s="7"/>
      <c r="AG40" s="139"/>
      <c r="AH40" s="139"/>
      <c r="AI40" s="139"/>
      <c r="AJ40" s="139"/>
      <c r="AK40" s="200">
        <v>11</v>
      </c>
    </row>
    <row r="41" spans="1:37" s="200" customFormat="1" ht="11.45" customHeight="1">
      <c r="A41" s="569"/>
      <c r="B41" s="569"/>
      <c r="C41" s="569"/>
      <c r="D41" s="569"/>
      <c r="E41" s="569"/>
      <c r="F41" s="65"/>
      <c r="G41" s="65"/>
      <c r="N41" s="60"/>
      <c r="P41" s="60"/>
      <c r="Q41" s="65"/>
      <c r="R41" s="65"/>
      <c r="S41" s="60"/>
      <c r="T41" s="60"/>
      <c r="U41" s="60"/>
      <c r="V41" s="60"/>
      <c r="W41" s="65"/>
      <c r="X41" s="60"/>
      <c r="Y41" s="60"/>
      <c r="Z41" s="306"/>
      <c r="AA41" s="60"/>
      <c r="AB41" s="60"/>
      <c r="AC41" s="60"/>
      <c r="AD41" s="60"/>
      <c r="AE41" s="60"/>
      <c r="AF41" s="7"/>
      <c r="AG41" s="139"/>
      <c r="AH41" s="139"/>
      <c r="AI41" s="139"/>
      <c r="AJ41" s="139"/>
      <c r="AK41" s="200">
        <v>11</v>
      </c>
    </row>
    <row r="42" spans="1:37" s="200" customFormat="1" ht="11.45" customHeight="1">
      <c r="A42" s="569"/>
      <c r="B42" s="569"/>
      <c r="C42" s="569"/>
      <c r="D42" s="569"/>
      <c r="E42" s="569"/>
      <c r="F42" s="65"/>
      <c r="G42" s="65"/>
      <c r="N42" s="60"/>
      <c r="P42" s="60"/>
      <c r="Q42" s="65"/>
      <c r="R42" s="65"/>
      <c r="S42" s="60"/>
      <c r="T42" s="60"/>
      <c r="U42" s="60"/>
      <c r="V42" s="60"/>
      <c r="W42" s="65"/>
      <c r="X42" s="60"/>
      <c r="Y42" s="60"/>
      <c r="Z42" s="306"/>
      <c r="AA42" s="60"/>
      <c r="AB42" s="60"/>
      <c r="AC42" s="60"/>
      <c r="AD42" s="60"/>
      <c r="AE42" s="60"/>
      <c r="AF42" s="7"/>
      <c r="AG42" s="139"/>
      <c r="AH42" s="139"/>
      <c r="AI42" s="139"/>
      <c r="AJ42" s="139"/>
      <c r="AK42" s="200">
        <v>11</v>
      </c>
    </row>
    <row r="43" spans="1:37" s="200" customFormat="1" ht="11.45" customHeight="1">
      <c r="A43" s="569"/>
      <c r="B43" s="569"/>
      <c r="C43" s="569"/>
      <c r="D43" s="569"/>
      <c r="E43" s="569"/>
      <c r="F43" s="65"/>
      <c r="G43" s="65"/>
      <c r="N43" s="60"/>
      <c r="P43" s="60"/>
      <c r="Q43" s="65"/>
      <c r="R43" s="65"/>
      <c r="S43" s="60"/>
      <c r="T43" s="60"/>
      <c r="U43" s="60"/>
      <c r="V43" s="60"/>
      <c r="W43" s="65"/>
      <c r="X43" s="60"/>
      <c r="Y43" s="60"/>
      <c r="Z43" s="306"/>
      <c r="AA43" s="60"/>
      <c r="AB43" s="60"/>
      <c r="AC43" s="60"/>
      <c r="AD43" s="60"/>
      <c r="AE43" s="60"/>
      <c r="AF43" s="7"/>
      <c r="AG43" s="139"/>
      <c r="AH43" s="139"/>
      <c r="AI43" s="139"/>
      <c r="AJ43" s="139"/>
      <c r="AK43" s="200">
        <v>11</v>
      </c>
    </row>
    <row r="44" spans="1:37" s="200" customFormat="1" ht="11.45" customHeight="1">
      <c r="A44" s="569"/>
      <c r="B44" s="569"/>
      <c r="C44" s="569"/>
      <c r="D44" s="569"/>
      <c r="E44" s="569"/>
      <c r="F44" s="65"/>
      <c r="G44" s="65"/>
      <c r="N44" s="60"/>
      <c r="P44" s="60"/>
      <c r="Q44" s="65"/>
      <c r="R44" s="65"/>
      <c r="S44" s="60"/>
      <c r="T44" s="60"/>
      <c r="U44" s="60"/>
      <c r="V44" s="60"/>
      <c r="W44" s="65"/>
      <c r="X44" s="60"/>
      <c r="Y44" s="60"/>
      <c r="Z44" s="306"/>
      <c r="AA44" s="60"/>
      <c r="AB44" s="60"/>
      <c r="AC44" s="60"/>
      <c r="AD44" s="60"/>
      <c r="AE44" s="60"/>
      <c r="AF44" s="7"/>
      <c r="AG44" s="139"/>
      <c r="AH44" s="139"/>
      <c r="AI44" s="139"/>
      <c r="AJ44" s="139"/>
      <c r="AK44" s="200">
        <v>11</v>
      </c>
    </row>
    <row r="45" spans="1:37" s="200" customFormat="1" ht="11.45" customHeight="1">
      <c r="A45" s="569"/>
      <c r="B45" s="569"/>
      <c r="C45" s="569"/>
      <c r="D45" s="569"/>
      <c r="E45" s="569"/>
      <c r="F45" s="65"/>
      <c r="G45" s="65"/>
      <c r="N45" s="60"/>
      <c r="P45" s="60"/>
      <c r="Q45" s="65"/>
      <c r="R45" s="65"/>
      <c r="S45" s="60"/>
      <c r="T45" s="60"/>
      <c r="U45" s="60"/>
      <c r="V45" s="60"/>
      <c r="W45" s="65"/>
      <c r="X45" s="60"/>
      <c r="Y45" s="60"/>
      <c r="Z45" s="306"/>
      <c r="AA45" s="60"/>
      <c r="AB45" s="60"/>
      <c r="AC45" s="60"/>
      <c r="AD45" s="60"/>
      <c r="AE45" s="60"/>
      <c r="AF45" s="7"/>
      <c r="AG45" s="139"/>
      <c r="AH45" s="139"/>
      <c r="AI45" s="139"/>
      <c r="AJ45" s="139"/>
      <c r="AK45" s="200">
        <v>11</v>
      </c>
    </row>
    <row r="46" spans="1:37" s="200" customFormat="1" ht="11.45" customHeight="1">
      <c r="A46" s="569"/>
      <c r="B46" s="569"/>
      <c r="C46" s="569"/>
      <c r="D46" s="569"/>
      <c r="E46" s="569"/>
      <c r="F46" s="65"/>
      <c r="G46" s="65"/>
      <c r="N46" s="60"/>
      <c r="P46" s="60"/>
      <c r="Q46" s="65"/>
      <c r="R46" s="65"/>
      <c r="S46" s="60"/>
      <c r="T46" s="60"/>
      <c r="U46" s="60"/>
      <c r="V46" s="60"/>
      <c r="W46" s="65"/>
      <c r="X46" s="60"/>
      <c r="Y46" s="60"/>
      <c r="Z46" s="306"/>
      <c r="AA46" s="60"/>
      <c r="AB46" s="60"/>
      <c r="AC46" s="60"/>
      <c r="AD46" s="60"/>
      <c r="AE46" s="60"/>
      <c r="AF46" s="7"/>
      <c r="AG46" s="139"/>
      <c r="AH46" s="139"/>
      <c r="AI46" s="139"/>
      <c r="AJ46" s="139"/>
      <c r="AK46" s="200">
        <v>11</v>
      </c>
    </row>
    <row r="47" spans="1:37" s="200" customFormat="1" ht="11.45" customHeight="1">
      <c r="A47" s="569"/>
      <c r="B47" s="569"/>
      <c r="C47" s="569"/>
      <c r="D47" s="569"/>
      <c r="E47" s="569"/>
      <c r="F47" s="65"/>
      <c r="G47" s="65"/>
      <c r="N47" s="60"/>
      <c r="P47" s="60"/>
      <c r="Q47" s="65"/>
      <c r="R47" s="65"/>
      <c r="S47" s="60"/>
      <c r="T47" s="60"/>
      <c r="U47" s="60"/>
      <c r="V47" s="60"/>
      <c r="W47" s="65"/>
      <c r="X47" s="60"/>
      <c r="Y47" s="60"/>
      <c r="Z47" s="306"/>
      <c r="AA47" s="60"/>
      <c r="AB47" s="60"/>
      <c r="AC47" s="60"/>
      <c r="AD47" s="60"/>
      <c r="AE47" s="60"/>
      <c r="AF47" s="7"/>
      <c r="AG47" s="139"/>
      <c r="AH47" s="139"/>
      <c r="AI47" s="139"/>
      <c r="AJ47" s="139"/>
      <c r="AK47" s="200">
        <v>11</v>
      </c>
    </row>
    <row r="48" spans="1:37" s="200" customFormat="1" ht="11.45" customHeight="1">
      <c r="A48" s="569"/>
      <c r="B48" s="569"/>
      <c r="C48" s="569"/>
      <c r="D48" s="569"/>
      <c r="E48" s="569"/>
      <c r="F48" s="65"/>
      <c r="G48" s="65"/>
      <c r="N48" s="60"/>
      <c r="P48" s="60"/>
      <c r="Q48" s="65"/>
      <c r="R48" s="65"/>
      <c r="S48" s="60"/>
      <c r="T48" s="60"/>
      <c r="U48" s="60"/>
      <c r="V48" s="60"/>
      <c r="W48" s="65"/>
      <c r="X48" s="60"/>
      <c r="Y48" s="60"/>
      <c r="Z48" s="306"/>
      <c r="AA48" s="60"/>
      <c r="AB48" s="60"/>
      <c r="AC48" s="60"/>
      <c r="AD48" s="60"/>
      <c r="AE48" s="60"/>
      <c r="AF48" s="7"/>
      <c r="AG48" s="139"/>
      <c r="AH48" s="139"/>
      <c r="AI48" s="139"/>
      <c r="AJ48" s="139"/>
      <c r="AK48" s="200">
        <v>11</v>
      </c>
    </row>
    <row r="49" spans="1:37" s="200" customFormat="1" ht="11.45" customHeight="1">
      <c r="A49" s="569"/>
      <c r="B49" s="569"/>
      <c r="C49" s="569"/>
      <c r="D49" s="569"/>
      <c r="E49" s="569"/>
      <c r="F49" s="65"/>
      <c r="G49" s="65"/>
      <c r="N49" s="60"/>
      <c r="P49" s="60"/>
      <c r="Q49" s="65"/>
      <c r="R49" s="65"/>
      <c r="S49" s="60"/>
      <c r="T49" s="60"/>
      <c r="U49" s="60"/>
      <c r="V49" s="60"/>
      <c r="W49" s="65"/>
      <c r="X49" s="60"/>
      <c r="Y49" s="60"/>
      <c r="Z49" s="306"/>
      <c r="AA49" s="60"/>
      <c r="AB49" s="60"/>
      <c r="AC49" s="60"/>
      <c r="AD49" s="60"/>
      <c r="AE49" s="60"/>
      <c r="AF49" s="7"/>
      <c r="AG49" s="139"/>
      <c r="AH49" s="139"/>
      <c r="AI49" s="139"/>
      <c r="AJ49" s="139"/>
      <c r="AK49" s="200">
        <v>11</v>
      </c>
    </row>
    <row r="50" spans="1:37" s="200" customFormat="1" ht="11.45" customHeight="1">
      <c r="A50" s="569"/>
      <c r="B50" s="569"/>
      <c r="C50" s="569"/>
      <c r="D50" s="569"/>
      <c r="E50" s="569"/>
      <c r="F50" s="65"/>
      <c r="G50" s="65"/>
      <c r="N50" s="60"/>
      <c r="P50" s="60"/>
      <c r="Q50" s="65"/>
      <c r="R50" s="65"/>
      <c r="S50" s="60"/>
      <c r="T50" s="60"/>
      <c r="U50" s="60"/>
      <c r="V50" s="60"/>
      <c r="W50" s="65"/>
      <c r="X50" s="60"/>
      <c r="Y50" s="60"/>
      <c r="Z50" s="306"/>
      <c r="AA50" s="60"/>
      <c r="AB50" s="60"/>
      <c r="AC50" s="60"/>
      <c r="AD50" s="60"/>
      <c r="AE50" s="60"/>
      <c r="AF50" s="7"/>
      <c r="AG50" s="139"/>
      <c r="AH50" s="139"/>
      <c r="AI50" s="139"/>
      <c r="AJ50" s="139"/>
      <c r="AK50" s="200">
        <v>11</v>
      </c>
    </row>
    <row r="51" spans="1:37" s="200" customFormat="1" ht="11.45" customHeight="1">
      <c r="A51" s="569"/>
      <c r="B51" s="569"/>
      <c r="C51" s="569"/>
      <c r="D51" s="569"/>
      <c r="E51" s="569"/>
      <c r="F51" s="65"/>
      <c r="G51" s="65"/>
      <c r="N51" s="60"/>
      <c r="P51" s="60"/>
      <c r="Q51" s="65"/>
      <c r="R51" s="65"/>
      <c r="S51" s="60"/>
      <c r="T51" s="60"/>
      <c r="U51" s="60"/>
      <c r="V51" s="60"/>
      <c r="W51" s="65"/>
      <c r="X51" s="60"/>
      <c r="Y51" s="60"/>
      <c r="Z51" s="306"/>
      <c r="AA51" s="60"/>
      <c r="AB51" s="60"/>
      <c r="AC51" s="60"/>
      <c r="AD51" s="60"/>
      <c r="AE51" s="60"/>
      <c r="AF51" s="7"/>
      <c r="AG51" s="139"/>
      <c r="AH51" s="139"/>
      <c r="AI51" s="139"/>
      <c r="AJ51" s="139"/>
      <c r="AK51" s="200">
        <v>11</v>
      </c>
    </row>
    <row r="52" spans="1:37" s="200" customFormat="1" ht="11.45" customHeight="1">
      <c r="A52" s="569"/>
      <c r="B52" s="569"/>
      <c r="C52" s="569"/>
      <c r="D52" s="569"/>
      <c r="E52" s="569"/>
      <c r="F52" s="65"/>
      <c r="G52" s="65"/>
      <c r="N52" s="60"/>
      <c r="P52" s="60"/>
      <c r="Q52" s="65"/>
      <c r="R52" s="65"/>
      <c r="S52" s="60"/>
      <c r="T52" s="60"/>
      <c r="U52" s="60"/>
      <c r="V52" s="60"/>
      <c r="W52" s="65"/>
      <c r="X52" s="60"/>
      <c r="Y52" s="60"/>
      <c r="Z52" s="306"/>
      <c r="AA52" s="60"/>
      <c r="AB52" s="60"/>
      <c r="AC52" s="60"/>
      <c r="AD52" s="60"/>
      <c r="AE52" s="60"/>
      <c r="AF52" s="7"/>
      <c r="AG52" s="139"/>
      <c r="AH52" s="139"/>
      <c r="AI52" s="139"/>
      <c r="AJ52" s="139"/>
      <c r="AK52" s="200">
        <v>11</v>
      </c>
    </row>
    <row r="53" spans="1:37" s="200" customFormat="1" ht="11.45" customHeight="1">
      <c r="A53" s="569"/>
      <c r="B53" s="569"/>
      <c r="C53" s="569"/>
      <c r="D53" s="569"/>
      <c r="E53" s="569"/>
      <c r="F53" s="65"/>
      <c r="G53" s="65"/>
      <c r="N53" s="60"/>
      <c r="P53" s="60"/>
      <c r="Q53" s="65"/>
      <c r="R53" s="65"/>
      <c r="S53" s="60"/>
      <c r="T53" s="60"/>
      <c r="U53" s="60"/>
      <c r="V53" s="60"/>
      <c r="W53" s="65"/>
      <c r="X53" s="60"/>
      <c r="Y53" s="60"/>
      <c r="Z53" s="306"/>
      <c r="AA53" s="60"/>
      <c r="AB53" s="60"/>
      <c r="AC53" s="60"/>
      <c r="AD53" s="60"/>
      <c r="AE53" s="60"/>
      <c r="AF53" s="7"/>
      <c r="AG53" s="139"/>
      <c r="AH53" s="139"/>
      <c r="AI53" s="139"/>
      <c r="AJ53" s="139"/>
      <c r="AK53" s="200">
        <v>11</v>
      </c>
    </row>
    <row r="54" spans="1:37" s="200" customFormat="1" ht="11.45" customHeight="1">
      <c r="A54" s="569"/>
      <c r="B54" s="569"/>
      <c r="C54" s="569"/>
      <c r="D54" s="569"/>
      <c r="E54" s="569"/>
      <c r="F54" s="65"/>
      <c r="G54" s="65"/>
      <c r="N54" s="60"/>
      <c r="P54" s="60"/>
      <c r="Q54" s="65"/>
      <c r="R54" s="65"/>
      <c r="S54" s="60"/>
      <c r="T54" s="60"/>
      <c r="U54" s="60"/>
      <c r="V54" s="60"/>
      <c r="W54" s="65"/>
      <c r="X54" s="60"/>
      <c r="Y54" s="60"/>
      <c r="Z54" s="306"/>
      <c r="AA54" s="60"/>
      <c r="AB54" s="60"/>
      <c r="AC54" s="60"/>
      <c r="AD54" s="60"/>
      <c r="AE54" s="60"/>
      <c r="AF54" s="7"/>
      <c r="AG54" s="139"/>
      <c r="AH54" s="139"/>
      <c r="AI54" s="139"/>
      <c r="AJ54" s="139"/>
      <c r="AK54" s="200">
        <v>11</v>
      </c>
    </row>
    <row r="55" spans="1:37" s="200" customFormat="1" ht="11.45" customHeight="1">
      <c r="A55" s="569"/>
      <c r="B55" s="569"/>
      <c r="C55" s="569"/>
      <c r="D55" s="569"/>
      <c r="E55" s="569"/>
      <c r="F55" s="65"/>
      <c r="G55" s="65"/>
      <c r="N55" s="60"/>
      <c r="P55" s="60"/>
      <c r="Q55" s="65"/>
      <c r="R55" s="65"/>
      <c r="S55" s="60"/>
      <c r="T55" s="60"/>
      <c r="U55" s="60"/>
      <c r="V55" s="60"/>
      <c r="W55" s="65"/>
      <c r="X55" s="60"/>
      <c r="Y55" s="60"/>
      <c r="Z55" s="306"/>
      <c r="AA55" s="60"/>
      <c r="AB55" s="60"/>
      <c r="AC55" s="60"/>
      <c r="AD55" s="60"/>
      <c r="AE55" s="60"/>
      <c r="AF55" s="7"/>
      <c r="AG55" s="139"/>
      <c r="AH55" s="139"/>
      <c r="AI55" s="139"/>
      <c r="AJ55" s="139"/>
      <c r="AK55" s="200">
        <v>11</v>
      </c>
    </row>
    <row r="56" spans="1:37" s="200" customFormat="1" ht="11.45" customHeight="1">
      <c r="A56" s="569"/>
      <c r="B56" s="569"/>
      <c r="C56" s="569"/>
      <c r="D56" s="569"/>
      <c r="E56" s="569"/>
      <c r="F56" s="65"/>
      <c r="G56" s="65"/>
      <c r="N56" s="60"/>
      <c r="P56" s="60"/>
      <c r="Q56" s="65"/>
      <c r="R56" s="65"/>
      <c r="S56" s="60"/>
      <c r="T56" s="60"/>
      <c r="U56" s="60"/>
      <c r="V56" s="60"/>
      <c r="W56" s="65"/>
      <c r="X56" s="60"/>
      <c r="Y56" s="60"/>
      <c r="Z56" s="306"/>
      <c r="AA56" s="60"/>
      <c r="AB56" s="60"/>
      <c r="AC56" s="60"/>
      <c r="AD56" s="60"/>
      <c r="AE56" s="60"/>
      <c r="AF56" s="7"/>
      <c r="AG56" s="139"/>
      <c r="AH56" s="139"/>
      <c r="AI56" s="139"/>
      <c r="AJ56" s="139"/>
      <c r="AK56" s="200">
        <v>11</v>
      </c>
    </row>
    <row r="57" spans="1:37" s="200" customFormat="1" ht="11.45" customHeight="1">
      <c r="A57" s="569"/>
      <c r="B57" s="569"/>
      <c r="C57" s="569"/>
      <c r="D57" s="569"/>
      <c r="E57" s="569"/>
      <c r="F57" s="65"/>
      <c r="G57" s="65"/>
      <c r="N57" s="60"/>
      <c r="P57" s="60"/>
      <c r="Q57" s="65"/>
      <c r="R57" s="65"/>
      <c r="S57" s="60"/>
      <c r="T57" s="60"/>
      <c r="U57" s="60"/>
      <c r="V57" s="60"/>
      <c r="W57" s="65"/>
      <c r="X57" s="60"/>
      <c r="Y57" s="60"/>
      <c r="Z57" s="306"/>
      <c r="AA57" s="60"/>
      <c r="AB57" s="60"/>
      <c r="AC57" s="60"/>
      <c r="AD57" s="60"/>
      <c r="AE57" s="60"/>
      <c r="AF57" s="7"/>
      <c r="AG57" s="139"/>
      <c r="AH57" s="139"/>
      <c r="AI57" s="139"/>
      <c r="AJ57" s="139"/>
      <c r="AK57" s="200">
        <v>11</v>
      </c>
    </row>
    <row r="58" spans="1:37" s="200" customFormat="1" ht="11.45" customHeight="1">
      <c r="A58" s="569"/>
      <c r="B58" s="569"/>
      <c r="C58" s="569"/>
      <c r="D58" s="569"/>
      <c r="E58" s="569"/>
      <c r="F58" s="65"/>
      <c r="G58" s="65"/>
      <c r="N58" s="60"/>
      <c r="P58" s="60"/>
      <c r="Q58" s="65"/>
      <c r="R58" s="65"/>
      <c r="S58" s="60"/>
      <c r="T58" s="60"/>
      <c r="U58" s="60"/>
      <c r="V58" s="60"/>
      <c r="W58" s="65"/>
      <c r="X58" s="60"/>
      <c r="Y58" s="60"/>
      <c r="Z58" s="306"/>
      <c r="AA58" s="60"/>
      <c r="AB58" s="60"/>
      <c r="AC58" s="60"/>
      <c r="AD58" s="60"/>
      <c r="AE58" s="60"/>
      <c r="AF58" s="7"/>
      <c r="AG58" s="139"/>
      <c r="AH58" s="139"/>
      <c r="AI58" s="139"/>
      <c r="AJ58" s="139"/>
      <c r="AK58" s="200">
        <v>11</v>
      </c>
    </row>
    <row r="59" spans="1:37" s="200" customFormat="1" ht="11.45" customHeight="1">
      <c r="A59" s="569"/>
      <c r="B59" s="569"/>
      <c r="C59" s="569"/>
      <c r="D59" s="569"/>
      <c r="E59" s="569"/>
      <c r="F59" s="65"/>
      <c r="G59" s="65"/>
      <c r="N59" s="60"/>
      <c r="P59" s="60"/>
      <c r="Q59" s="65"/>
      <c r="R59" s="65"/>
      <c r="S59" s="60"/>
      <c r="T59" s="60"/>
      <c r="U59" s="60"/>
      <c r="V59" s="60"/>
      <c r="W59" s="65"/>
      <c r="X59" s="60"/>
      <c r="Y59" s="60"/>
      <c r="Z59" s="306"/>
      <c r="AA59" s="60"/>
      <c r="AB59" s="60"/>
      <c r="AC59" s="60"/>
      <c r="AD59" s="60"/>
      <c r="AE59" s="60"/>
      <c r="AF59" s="7"/>
      <c r="AG59" s="139"/>
      <c r="AH59" s="139"/>
      <c r="AI59" s="139"/>
      <c r="AJ59" s="139"/>
      <c r="AK59" s="200">
        <v>11</v>
      </c>
    </row>
    <row r="60" spans="1:37" s="200" customFormat="1" ht="11.45" customHeight="1">
      <c r="A60" s="569"/>
      <c r="B60" s="569"/>
      <c r="C60" s="569"/>
      <c r="D60" s="569"/>
      <c r="E60" s="569"/>
      <c r="F60" s="65"/>
      <c r="G60" s="65"/>
      <c r="N60" s="60"/>
      <c r="P60" s="60"/>
      <c r="Q60" s="65"/>
      <c r="R60" s="65"/>
      <c r="S60" s="60"/>
      <c r="T60" s="60"/>
      <c r="U60" s="60"/>
      <c r="V60" s="60"/>
      <c r="W60" s="65"/>
      <c r="X60" s="60"/>
      <c r="Y60" s="60"/>
      <c r="Z60" s="306"/>
      <c r="AA60" s="60"/>
      <c r="AB60" s="60"/>
      <c r="AC60" s="60"/>
      <c r="AD60" s="60"/>
      <c r="AE60" s="60"/>
      <c r="AF60" s="7"/>
      <c r="AG60" s="139"/>
      <c r="AH60" s="139"/>
      <c r="AI60" s="139"/>
      <c r="AJ60" s="139"/>
      <c r="AK60" s="200">
        <v>11</v>
      </c>
    </row>
    <row r="61" spans="1:37" s="200" customFormat="1" ht="11.45" customHeight="1">
      <c r="A61" s="569"/>
      <c r="B61" s="569"/>
      <c r="C61" s="569"/>
      <c r="D61" s="569"/>
      <c r="E61" s="569"/>
      <c r="F61" s="65"/>
      <c r="G61" s="65"/>
      <c r="N61" s="60"/>
      <c r="P61" s="60"/>
      <c r="Q61" s="65"/>
      <c r="R61" s="65"/>
      <c r="S61" s="60"/>
      <c r="T61" s="60"/>
      <c r="U61" s="60"/>
      <c r="V61" s="60"/>
      <c r="W61" s="65"/>
      <c r="X61" s="60"/>
      <c r="Y61" s="60"/>
      <c r="Z61" s="306"/>
      <c r="AA61" s="60"/>
      <c r="AB61" s="60"/>
      <c r="AC61" s="60"/>
      <c r="AD61" s="60"/>
      <c r="AE61" s="60"/>
      <c r="AF61" s="7"/>
      <c r="AG61" s="139"/>
      <c r="AH61" s="139"/>
      <c r="AI61" s="139"/>
      <c r="AJ61" s="139"/>
      <c r="AK61" s="200">
        <v>11</v>
      </c>
    </row>
    <row r="62" spans="1:37" s="200" customFormat="1" ht="11.45" customHeight="1">
      <c r="A62" s="569"/>
      <c r="B62" s="569"/>
      <c r="C62" s="569"/>
      <c r="D62" s="569"/>
      <c r="E62" s="569"/>
      <c r="F62" s="65"/>
      <c r="G62" s="65"/>
      <c r="N62" s="60"/>
      <c r="P62" s="60"/>
      <c r="Q62" s="65"/>
      <c r="R62" s="65"/>
      <c r="S62" s="60"/>
      <c r="T62" s="60"/>
      <c r="U62" s="60"/>
      <c r="V62" s="60"/>
      <c r="W62" s="65"/>
      <c r="X62" s="60"/>
      <c r="Y62" s="60"/>
      <c r="Z62" s="306"/>
      <c r="AA62" s="60"/>
      <c r="AB62" s="60"/>
      <c r="AC62" s="60"/>
      <c r="AD62" s="60"/>
      <c r="AE62" s="60"/>
      <c r="AF62" s="7"/>
      <c r="AG62" s="139"/>
      <c r="AH62" s="139"/>
      <c r="AI62" s="139"/>
      <c r="AJ62" s="139"/>
      <c r="AK62" s="200">
        <v>11</v>
      </c>
    </row>
    <row r="63" spans="1:37" s="200" customFormat="1" ht="11.45" customHeight="1">
      <c r="A63" s="569"/>
      <c r="B63" s="569"/>
      <c r="C63" s="569"/>
      <c r="D63" s="569"/>
      <c r="E63" s="569"/>
      <c r="F63" s="65"/>
      <c r="G63" s="65"/>
      <c r="N63" s="60"/>
      <c r="P63" s="60"/>
      <c r="Q63" s="65"/>
      <c r="R63" s="65"/>
      <c r="S63" s="60"/>
      <c r="T63" s="60"/>
      <c r="U63" s="60"/>
      <c r="V63" s="60"/>
      <c r="W63" s="65"/>
      <c r="X63" s="60"/>
      <c r="Y63" s="60"/>
      <c r="Z63" s="306"/>
      <c r="AA63" s="60"/>
      <c r="AB63" s="60"/>
      <c r="AC63" s="60"/>
      <c r="AD63" s="60"/>
      <c r="AE63" s="60"/>
      <c r="AF63" s="7"/>
      <c r="AG63" s="139"/>
      <c r="AH63" s="139"/>
      <c r="AI63" s="139"/>
      <c r="AJ63" s="139"/>
      <c r="AK63" s="200">
        <v>11</v>
      </c>
    </row>
    <row r="64" spans="1:37" s="200" customFormat="1" ht="11.45" customHeight="1">
      <c r="A64" s="569"/>
      <c r="B64" s="569"/>
      <c r="C64" s="569"/>
      <c r="D64" s="569"/>
      <c r="E64" s="569"/>
      <c r="F64" s="65"/>
      <c r="G64" s="65"/>
      <c r="N64" s="60"/>
      <c r="P64" s="60"/>
      <c r="Q64" s="65"/>
      <c r="R64" s="65"/>
      <c r="S64" s="60"/>
      <c r="T64" s="60"/>
      <c r="U64" s="60"/>
      <c r="V64" s="60"/>
      <c r="W64" s="65"/>
      <c r="X64" s="60"/>
      <c r="Y64" s="60"/>
      <c r="Z64" s="306"/>
      <c r="AA64" s="60"/>
      <c r="AB64" s="60"/>
      <c r="AC64" s="60"/>
      <c r="AD64" s="60"/>
      <c r="AE64" s="60"/>
      <c r="AF64" s="7"/>
      <c r="AG64" s="139"/>
      <c r="AH64" s="139"/>
      <c r="AI64" s="139"/>
      <c r="AJ64" s="139"/>
      <c r="AK64" s="200">
        <v>11</v>
      </c>
    </row>
    <row r="65" spans="1:37" s="200" customFormat="1" ht="11.45" customHeight="1">
      <c r="A65" s="569"/>
      <c r="B65" s="569"/>
      <c r="C65" s="569"/>
      <c r="D65" s="569"/>
      <c r="E65" s="569"/>
      <c r="F65" s="65"/>
      <c r="G65" s="65"/>
      <c r="N65" s="60"/>
      <c r="P65" s="60"/>
      <c r="Q65" s="65"/>
      <c r="R65" s="65"/>
      <c r="S65" s="60"/>
      <c r="T65" s="60"/>
      <c r="U65" s="60"/>
      <c r="V65" s="60"/>
      <c r="W65" s="65"/>
      <c r="X65" s="60"/>
      <c r="Y65" s="60"/>
      <c r="Z65" s="306"/>
      <c r="AA65" s="60"/>
      <c r="AB65" s="60"/>
      <c r="AC65" s="60"/>
      <c r="AD65" s="60"/>
      <c r="AE65" s="60"/>
      <c r="AF65" s="7"/>
      <c r="AG65" s="139"/>
      <c r="AH65" s="139"/>
      <c r="AI65" s="139"/>
      <c r="AJ65" s="139"/>
      <c r="AK65" s="200">
        <v>11</v>
      </c>
    </row>
    <row r="66" spans="1:37" s="200" customFormat="1" ht="11.45" customHeight="1">
      <c r="A66" s="569"/>
      <c r="B66" s="569"/>
      <c r="C66" s="569"/>
      <c r="D66" s="569"/>
      <c r="E66" s="569"/>
      <c r="F66" s="65"/>
      <c r="G66" s="65"/>
      <c r="N66" s="60"/>
      <c r="P66" s="60"/>
      <c r="Q66" s="65"/>
      <c r="R66" s="65"/>
      <c r="S66" s="60"/>
      <c r="T66" s="60"/>
      <c r="U66" s="60"/>
      <c r="V66" s="60"/>
      <c r="W66" s="65"/>
      <c r="X66" s="60"/>
      <c r="Y66" s="60"/>
      <c r="Z66" s="306"/>
      <c r="AA66" s="60"/>
      <c r="AB66" s="60"/>
      <c r="AC66" s="60"/>
      <c r="AD66" s="60"/>
      <c r="AE66" s="60"/>
      <c r="AF66" s="7"/>
      <c r="AG66" s="139"/>
      <c r="AH66" s="139"/>
      <c r="AI66" s="139"/>
      <c r="AJ66" s="139"/>
      <c r="AK66" s="200">
        <v>11</v>
      </c>
    </row>
    <row r="67" spans="1:37" s="200" customFormat="1" ht="11.45" customHeight="1">
      <c r="A67" s="569"/>
      <c r="B67" s="569"/>
      <c r="C67" s="569"/>
      <c r="D67" s="569"/>
      <c r="E67" s="569"/>
      <c r="F67" s="65"/>
      <c r="G67" s="65"/>
      <c r="N67" s="60"/>
      <c r="P67" s="60"/>
      <c r="Q67" s="65"/>
      <c r="R67" s="65"/>
      <c r="S67" s="60"/>
      <c r="T67" s="60"/>
      <c r="U67" s="60"/>
      <c r="V67" s="60"/>
      <c r="W67" s="65"/>
      <c r="X67" s="60"/>
      <c r="Y67" s="60"/>
      <c r="Z67" s="306"/>
      <c r="AA67" s="60"/>
      <c r="AB67" s="60"/>
      <c r="AC67" s="60"/>
      <c r="AD67" s="60"/>
      <c r="AE67" s="60"/>
      <c r="AF67" s="7"/>
      <c r="AG67" s="139"/>
      <c r="AH67" s="139"/>
      <c r="AI67" s="139"/>
      <c r="AJ67" s="139"/>
      <c r="AK67" s="200">
        <v>11</v>
      </c>
    </row>
    <row r="68" spans="1:37" s="200" customFormat="1" ht="11.45" customHeight="1">
      <c r="A68" s="569"/>
      <c r="B68" s="569"/>
      <c r="C68" s="569"/>
      <c r="D68" s="569"/>
      <c r="E68" s="569"/>
      <c r="F68" s="65"/>
      <c r="G68" s="65"/>
      <c r="N68" s="60"/>
      <c r="P68" s="60"/>
      <c r="Q68" s="65"/>
      <c r="R68" s="65"/>
      <c r="S68" s="60"/>
      <c r="T68" s="60"/>
      <c r="U68" s="60"/>
      <c r="V68" s="60"/>
      <c r="W68" s="65"/>
      <c r="X68" s="60"/>
      <c r="Y68" s="60"/>
      <c r="Z68" s="306"/>
      <c r="AA68" s="60"/>
      <c r="AB68" s="60"/>
      <c r="AC68" s="60"/>
      <c r="AD68" s="60"/>
      <c r="AE68" s="60"/>
      <c r="AF68" s="7"/>
      <c r="AG68" s="139"/>
      <c r="AH68" s="139"/>
      <c r="AI68" s="139"/>
      <c r="AJ68" s="139"/>
      <c r="AK68" s="200">
        <v>11</v>
      </c>
    </row>
    <row r="69" spans="1:37" s="200" customFormat="1" ht="11.45" customHeight="1">
      <c r="A69" s="569"/>
      <c r="B69" s="569"/>
      <c r="C69" s="569"/>
      <c r="D69" s="569"/>
      <c r="E69" s="569"/>
      <c r="F69" s="65"/>
      <c r="G69" s="65"/>
      <c r="N69" s="60"/>
      <c r="P69" s="60"/>
      <c r="Q69" s="65"/>
      <c r="R69" s="65"/>
      <c r="S69" s="60"/>
      <c r="T69" s="60"/>
      <c r="U69" s="60"/>
      <c r="V69" s="60"/>
      <c r="W69" s="65"/>
      <c r="X69" s="60"/>
      <c r="Y69" s="60"/>
      <c r="Z69" s="306"/>
      <c r="AA69" s="60"/>
      <c r="AB69" s="60"/>
      <c r="AC69" s="60"/>
      <c r="AD69" s="60"/>
      <c r="AE69" s="60"/>
      <c r="AF69" s="7"/>
      <c r="AG69" s="139"/>
      <c r="AH69" s="139"/>
      <c r="AI69" s="139"/>
      <c r="AJ69" s="139"/>
      <c r="AK69" s="200">
        <v>11</v>
      </c>
    </row>
    <row r="70" spans="1:37" s="200" customFormat="1" ht="11.45" customHeight="1">
      <c r="A70" s="569"/>
      <c r="B70" s="569"/>
      <c r="C70" s="569"/>
      <c r="D70" s="569"/>
      <c r="E70" s="569"/>
      <c r="F70" s="65"/>
      <c r="G70" s="65"/>
      <c r="N70" s="60"/>
      <c r="P70" s="60"/>
      <c r="Q70" s="65"/>
      <c r="R70" s="65"/>
      <c r="S70" s="60"/>
      <c r="T70" s="60"/>
      <c r="U70" s="60"/>
      <c r="V70" s="60"/>
      <c r="W70" s="65"/>
      <c r="X70" s="60"/>
      <c r="Y70" s="60"/>
      <c r="Z70" s="306"/>
      <c r="AA70" s="60"/>
      <c r="AB70" s="60"/>
      <c r="AC70" s="60"/>
      <c r="AD70" s="60"/>
      <c r="AE70" s="60"/>
      <c r="AF70" s="7"/>
      <c r="AG70" s="139"/>
      <c r="AH70" s="139"/>
      <c r="AI70" s="139"/>
      <c r="AJ70" s="139"/>
      <c r="AK70" s="200">
        <v>11</v>
      </c>
    </row>
    <row r="71" spans="1:37" s="200" customFormat="1" ht="11.45" customHeight="1">
      <c r="A71" s="569"/>
      <c r="B71" s="569"/>
      <c r="C71" s="569"/>
      <c r="D71" s="569"/>
      <c r="E71" s="569"/>
      <c r="F71" s="65"/>
      <c r="G71" s="65"/>
      <c r="N71" s="60"/>
      <c r="P71" s="60"/>
      <c r="Q71" s="65"/>
      <c r="R71" s="65"/>
      <c r="S71" s="60"/>
      <c r="T71" s="60"/>
      <c r="U71" s="60"/>
      <c r="V71" s="60"/>
      <c r="W71" s="65"/>
      <c r="X71" s="60"/>
      <c r="Y71" s="60"/>
      <c r="Z71" s="306"/>
      <c r="AA71" s="60"/>
      <c r="AB71" s="60"/>
      <c r="AC71" s="60"/>
      <c r="AD71" s="60"/>
      <c r="AE71" s="60"/>
      <c r="AF71" s="7"/>
      <c r="AG71" s="139"/>
      <c r="AH71" s="139"/>
      <c r="AI71" s="139"/>
      <c r="AJ71" s="139"/>
      <c r="AK71" s="200">
        <v>11</v>
      </c>
    </row>
    <row r="72" spans="1:37" s="200" customFormat="1" ht="11.45" customHeight="1">
      <c r="A72" s="569"/>
      <c r="B72" s="569"/>
      <c r="C72" s="569"/>
      <c r="D72" s="569"/>
      <c r="E72" s="569"/>
      <c r="F72" s="65"/>
      <c r="G72" s="65"/>
      <c r="N72" s="60"/>
      <c r="P72" s="60"/>
      <c r="Q72" s="65"/>
      <c r="R72" s="65"/>
      <c r="S72" s="60"/>
      <c r="T72" s="60"/>
      <c r="U72" s="60"/>
      <c r="V72" s="60"/>
      <c r="W72" s="65"/>
      <c r="X72" s="60"/>
      <c r="Y72" s="60"/>
      <c r="Z72" s="306"/>
      <c r="AA72" s="60"/>
      <c r="AB72" s="60"/>
      <c r="AC72" s="60"/>
      <c r="AD72" s="60"/>
      <c r="AE72" s="60"/>
      <c r="AF72" s="7"/>
      <c r="AG72" s="139"/>
      <c r="AH72" s="139"/>
      <c r="AI72" s="139"/>
      <c r="AJ72" s="139"/>
      <c r="AK72" s="200">
        <v>11</v>
      </c>
    </row>
    <row r="73" spans="1:37" s="200" customFormat="1" ht="11.45" customHeight="1">
      <c r="A73" s="569"/>
      <c r="B73" s="569"/>
      <c r="C73" s="569"/>
      <c r="D73" s="569"/>
      <c r="E73" s="569"/>
      <c r="F73" s="65"/>
      <c r="G73" s="65"/>
      <c r="N73" s="60"/>
      <c r="P73" s="60"/>
      <c r="Q73" s="65"/>
      <c r="R73" s="65"/>
      <c r="S73" s="60"/>
      <c r="T73" s="60"/>
      <c r="U73" s="60"/>
      <c r="V73" s="60"/>
      <c r="W73" s="65"/>
      <c r="X73" s="60"/>
      <c r="Y73" s="60"/>
      <c r="Z73" s="306"/>
      <c r="AA73" s="60"/>
      <c r="AB73" s="60"/>
      <c r="AC73" s="60"/>
      <c r="AD73" s="60"/>
      <c r="AE73" s="60"/>
      <c r="AF73" s="7"/>
      <c r="AG73" s="139"/>
      <c r="AH73" s="139"/>
      <c r="AI73" s="139"/>
      <c r="AJ73" s="139"/>
      <c r="AK73" s="200">
        <v>11</v>
      </c>
    </row>
    <row r="74" spans="1:37" s="200" customFormat="1" ht="11.45" customHeight="1">
      <c r="A74" s="569"/>
      <c r="B74" s="569"/>
      <c r="C74" s="569"/>
      <c r="D74" s="569"/>
      <c r="E74" s="569"/>
      <c r="F74" s="65"/>
      <c r="G74" s="65"/>
      <c r="N74" s="60"/>
      <c r="P74" s="60"/>
      <c r="Q74" s="65"/>
      <c r="R74" s="65"/>
      <c r="S74" s="60"/>
      <c r="T74" s="60"/>
      <c r="U74" s="60"/>
      <c r="V74" s="60"/>
      <c r="W74" s="65"/>
      <c r="X74" s="60"/>
      <c r="Y74" s="60"/>
      <c r="Z74" s="306"/>
      <c r="AA74" s="60"/>
      <c r="AB74" s="60"/>
      <c r="AC74" s="60"/>
      <c r="AD74" s="60"/>
      <c r="AE74" s="60"/>
      <c r="AF74" s="7"/>
      <c r="AG74" s="139"/>
      <c r="AH74" s="139"/>
      <c r="AI74" s="139"/>
      <c r="AJ74" s="139"/>
      <c r="AK74" s="200">
        <v>11</v>
      </c>
    </row>
    <row r="75" spans="1:37" s="200" customFormat="1" ht="11.45" customHeight="1">
      <c r="A75" s="569"/>
      <c r="B75" s="569"/>
      <c r="C75" s="569"/>
      <c r="D75" s="569"/>
      <c r="E75" s="569"/>
      <c r="F75" s="65"/>
      <c r="G75" s="65"/>
      <c r="N75" s="60"/>
      <c r="P75" s="60"/>
      <c r="Q75" s="65"/>
      <c r="R75" s="65"/>
      <c r="S75" s="60"/>
      <c r="T75" s="60"/>
      <c r="U75" s="60"/>
      <c r="V75" s="60"/>
      <c r="W75" s="65"/>
      <c r="X75" s="60"/>
      <c r="Y75" s="60"/>
      <c r="Z75" s="306"/>
      <c r="AA75" s="60"/>
      <c r="AB75" s="60"/>
      <c r="AC75" s="60"/>
      <c r="AD75" s="60"/>
      <c r="AE75" s="60"/>
      <c r="AF75" s="7"/>
      <c r="AG75" s="139"/>
      <c r="AH75" s="139"/>
      <c r="AI75" s="139"/>
      <c r="AJ75" s="139"/>
      <c r="AK75" s="200">
        <v>11</v>
      </c>
    </row>
    <row r="76" spans="1:37" s="200" customFormat="1" ht="11.45" customHeight="1">
      <c r="A76" s="569"/>
      <c r="B76" s="569"/>
      <c r="C76" s="569"/>
      <c r="D76" s="569"/>
      <c r="E76" s="569"/>
      <c r="F76" s="65"/>
      <c r="G76" s="65"/>
      <c r="N76" s="60"/>
      <c r="P76" s="60"/>
      <c r="Q76" s="65"/>
      <c r="R76" s="65"/>
      <c r="S76" s="60"/>
      <c r="T76" s="60"/>
      <c r="U76" s="60"/>
      <c r="V76" s="60"/>
      <c r="W76" s="65"/>
      <c r="X76" s="60"/>
      <c r="Y76" s="60"/>
      <c r="Z76" s="306"/>
      <c r="AA76" s="60"/>
      <c r="AB76" s="60"/>
      <c r="AC76" s="60"/>
      <c r="AD76" s="60"/>
      <c r="AE76" s="60"/>
      <c r="AF76" s="7"/>
      <c r="AG76" s="139"/>
      <c r="AH76" s="139"/>
      <c r="AI76" s="139"/>
      <c r="AJ76" s="139"/>
      <c r="AK76" s="200">
        <v>11</v>
      </c>
    </row>
    <row r="77" spans="1:37" s="200" customFormat="1" ht="11.45" customHeight="1">
      <c r="A77" s="569"/>
      <c r="B77" s="569"/>
      <c r="C77" s="569"/>
      <c r="D77" s="569"/>
      <c r="E77" s="569"/>
      <c r="F77" s="65"/>
      <c r="G77" s="65"/>
      <c r="N77" s="60"/>
      <c r="P77" s="60"/>
      <c r="Q77" s="65"/>
      <c r="R77" s="65"/>
      <c r="S77" s="60"/>
      <c r="T77" s="60"/>
      <c r="U77" s="60"/>
      <c r="V77" s="60"/>
      <c r="W77" s="65"/>
      <c r="X77" s="60"/>
      <c r="Y77" s="60"/>
      <c r="Z77" s="306"/>
      <c r="AA77" s="60"/>
      <c r="AB77" s="60"/>
      <c r="AC77" s="60"/>
      <c r="AD77" s="60"/>
      <c r="AE77" s="60"/>
      <c r="AF77" s="7"/>
      <c r="AG77" s="139"/>
      <c r="AH77" s="139"/>
      <c r="AI77" s="139"/>
      <c r="AJ77" s="139"/>
      <c r="AK77" s="200">
        <v>11</v>
      </c>
    </row>
    <row r="78" spans="1:37" s="200" customFormat="1" ht="11.45" customHeight="1">
      <c r="A78" s="569"/>
      <c r="B78" s="569"/>
      <c r="C78" s="569"/>
      <c r="D78" s="569"/>
      <c r="E78" s="569"/>
      <c r="F78" s="65"/>
      <c r="G78" s="65"/>
      <c r="N78" s="60"/>
      <c r="P78" s="60"/>
      <c r="Q78" s="65"/>
      <c r="R78" s="65"/>
      <c r="S78" s="60"/>
      <c r="T78" s="60"/>
      <c r="U78" s="60"/>
      <c r="V78" s="60"/>
      <c r="W78" s="65"/>
      <c r="X78" s="60"/>
      <c r="Y78" s="60"/>
      <c r="Z78" s="306"/>
      <c r="AA78" s="60"/>
      <c r="AB78" s="60"/>
      <c r="AC78" s="60"/>
      <c r="AD78" s="60"/>
      <c r="AE78" s="60"/>
      <c r="AF78" s="7"/>
      <c r="AG78" s="139"/>
      <c r="AH78" s="139"/>
      <c r="AI78" s="139"/>
      <c r="AJ78" s="139"/>
      <c r="AK78" s="200">
        <v>11</v>
      </c>
    </row>
    <row r="79" spans="1:37" s="200" customFormat="1" ht="11.45" customHeight="1">
      <c r="A79" s="569"/>
      <c r="B79" s="569"/>
      <c r="C79" s="569"/>
      <c r="D79" s="569"/>
      <c r="E79" s="569"/>
      <c r="F79" s="65"/>
      <c r="G79" s="65"/>
      <c r="N79" s="60"/>
      <c r="P79" s="60"/>
      <c r="Q79" s="65"/>
      <c r="R79" s="65"/>
      <c r="S79" s="60"/>
      <c r="T79" s="60"/>
      <c r="U79" s="60"/>
      <c r="V79" s="60"/>
      <c r="W79" s="65"/>
      <c r="X79" s="60"/>
      <c r="Y79" s="60"/>
      <c r="Z79" s="306"/>
      <c r="AA79" s="60"/>
      <c r="AB79" s="60"/>
      <c r="AC79" s="60"/>
      <c r="AD79" s="60"/>
      <c r="AE79" s="60"/>
      <c r="AF79" s="7"/>
      <c r="AG79" s="139"/>
      <c r="AH79" s="139"/>
      <c r="AI79" s="139"/>
      <c r="AJ79" s="139"/>
      <c r="AK79" s="200">
        <v>11</v>
      </c>
    </row>
    <row r="80" spans="1:37" s="200" customFormat="1" ht="11.45" customHeight="1">
      <c r="A80" s="569"/>
      <c r="B80" s="569"/>
      <c r="C80" s="569"/>
      <c r="D80" s="569"/>
      <c r="E80" s="569"/>
      <c r="F80" s="65"/>
      <c r="G80" s="65"/>
      <c r="N80" s="60"/>
      <c r="P80" s="60"/>
      <c r="Q80" s="65"/>
      <c r="R80" s="65"/>
      <c r="S80" s="60"/>
      <c r="T80" s="60"/>
      <c r="U80" s="60"/>
      <c r="V80" s="60"/>
      <c r="W80" s="65"/>
      <c r="X80" s="60"/>
      <c r="Y80" s="60"/>
      <c r="Z80" s="306"/>
      <c r="AA80" s="60"/>
      <c r="AB80" s="60"/>
      <c r="AC80" s="60"/>
      <c r="AD80" s="60"/>
      <c r="AE80" s="60"/>
      <c r="AF80" s="7"/>
      <c r="AG80" s="139"/>
      <c r="AH80" s="139"/>
      <c r="AI80" s="139"/>
      <c r="AJ80" s="139"/>
      <c r="AK80" s="200">
        <v>11</v>
      </c>
    </row>
    <row r="81" spans="1:37" s="200" customFormat="1" ht="11.45" customHeight="1">
      <c r="A81" s="569"/>
      <c r="B81" s="569"/>
      <c r="C81" s="569"/>
      <c r="D81" s="569"/>
      <c r="E81" s="569"/>
      <c r="F81" s="65"/>
      <c r="G81" s="65"/>
      <c r="N81" s="60"/>
      <c r="P81" s="60"/>
      <c r="Q81" s="65"/>
      <c r="R81" s="65"/>
      <c r="S81" s="60"/>
      <c r="T81" s="60"/>
      <c r="U81" s="60"/>
      <c r="V81" s="60"/>
      <c r="W81" s="65"/>
      <c r="X81" s="60"/>
      <c r="Y81" s="60"/>
      <c r="Z81" s="306"/>
      <c r="AA81" s="60"/>
      <c r="AB81" s="60"/>
      <c r="AC81" s="60"/>
      <c r="AD81" s="60"/>
      <c r="AE81" s="60"/>
      <c r="AF81" s="7"/>
      <c r="AG81" s="139"/>
      <c r="AH81" s="139"/>
      <c r="AI81" s="139"/>
      <c r="AJ81" s="139"/>
      <c r="AK81" s="200">
        <v>11</v>
      </c>
    </row>
    <row r="82" spans="1:37" s="200" customFormat="1" ht="11.45" customHeight="1">
      <c r="A82" s="569"/>
      <c r="B82" s="569"/>
      <c r="C82" s="569"/>
      <c r="D82" s="569"/>
      <c r="E82" s="569"/>
      <c r="F82" s="65"/>
      <c r="G82" s="65"/>
      <c r="N82" s="60"/>
      <c r="P82" s="60"/>
      <c r="Q82" s="65"/>
      <c r="R82" s="65"/>
      <c r="S82" s="60"/>
      <c r="T82" s="60"/>
      <c r="U82" s="60"/>
      <c r="V82" s="60"/>
      <c r="W82" s="65"/>
      <c r="X82" s="60"/>
      <c r="Y82" s="60"/>
      <c r="Z82" s="306"/>
      <c r="AA82" s="60"/>
      <c r="AB82" s="60"/>
      <c r="AC82" s="60"/>
      <c r="AD82" s="60"/>
      <c r="AE82" s="60"/>
      <c r="AF82" s="7"/>
      <c r="AG82" s="139"/>
      <c r="AH82" s="139"/>
      <c r="AI82" s="139"/>
      <c r="AJ82" s="139"/>
      <c r="AK82" s="200">
        <v>11</v>
      </c>
    </row>
    <row r="83" spans="1:37" s="200" customFormat="1" ht="11.45" customHeight="1">
      <c r="A83" s="569"/>
      <c r="B83" s="569"/>
      <c r="C83" s="569"/>
      <c r="D83" s="569"/>
      <c r="E83" s="569"/>
      <c r="F83" s="65"/>
      <c r="G83" s="65"/>
      <c r="N83" s="60"/>
      <c r="P83" s="60"/>
      <c r="Q83" s="65"/>
      <c r="R83" s="65"/>
      <c r="S83" s="60"/>
      <c r="T83" s="60"/>
      <c r="U83" s="60"/>
      <c r="V83" s="60"/>
      <c r="W83" s="65"/>
      <c r="X83" s="60"/>
      <c r="Y83" s="60"/>
      <c r="Z83" s="306"/>
      <c r="AA83" s="60"/>
      <c r="AB83" s="60"/>
      <c r="AC83" s="60"/>
      <c r="AD83" s="60"/>
      <c r="AE83" s="60"/>
      <c r="AF83" s="7"/>
      <c r="AG83" s="139"/>
      <c r="AH83" s="139"/>
      <c r="AI83" s="139"/>
      <c r="AJ83" s="139"/>
      <c r="AK83" s="200">
        <v>11</v>
      </c>
    </row>
    <row r="84" spans="1:37" s="200" customFormat="1" ht="11.45" customHeight="1">
      <c r="A84" s="569"/>
      <c r="B84" s="569"/>
      <c r="C84" s="569"/>
      <c r="D84" s="569"/>
      <c r="E84" s="569"/>
      <c r="F84" s="65"/>
      <c r="G84" s="65"/>
      <c r="N84" s="60"/>
      <c r="P84" s="60"/>
      <c r="Q84" s="65"/>
      <c r="R84" s="65"/>
      <c r="S84" s="60"/>
      <c r="T84" s="60"/>
      <c r="U84" s="60"/>
      <c r="V84" s="60"/>
      <c r="W84" s="65"/>
      <c r="X84" s="60"/>
      <c r="Y84" s="60"/>
      <c r="Z84" s="306"/>
      <c r="AA84" s="60"/>
      <c r="AB84" s="60"/>
      <c r="AC84" s="60"/>
      <c r="AD84" s="60"/>
      <c r="AE84" s="60"/>
      <c r="AF84" s="7"/>
      <c r="AG84" s="139"/>
      <c r="AH84" s="139"/>
      <c r="AI84" s="139"/>
      <c r="AJ84" s="139"/>
      <c r="AK84" s="200">
        <v>11</v>
      </c>
    </row>
    <row r="85" spans="1:37" s="200" customFormat="1" ht="11.45" customHeight="1">
      <c r="A85" s="569"/>
      <c r="B85" s="569"/>
      <c r="C85" s="569"/>
      <c r="D85" s="569"/>
      <c r="E85" s="569"/>
      <c r="F85" s="65"/>
      <c r="G85" s="65"/>
      <c r="N85" s="60"/>
      <c r="P85" s="60"/>
      <c r="Q85" s="65"/>
      <c r="R85" s="65"/>
      <c r="S85" s="60"/>
      <c r="T85" s="60"/>
      <c r="U85" s="60"/>
      <c r="V85" s="60"/>
      <c r="W85" s="65"/>
      <c r="X85" s="60"/>
      <c r="Y85" s="60"/>
      <c r="Z85" s="306"/>
      <c r="AA85" s="60"/>
      <c r="AB85" s="60"/>
      <c r="AC85" s="60"/>
      <c r="AD85" s="60"/>
      <c r="AE85" s="60"/>
      <c r="AF85" s="7"/>
      <c r="AG85" s="139"/>
      <c r="AH85" s="139"/>
      <c r="AI85" s="139"/>
      <c r="AJ85" s="139"/>
      <c r="AK85" s="200">
        <v>11</v>
      </c>
    </row>
    <row r="86" spans="1:37" s="200" customFormat="1" ht="11.45" customHeight="1">
      <c r="A86" s="569"/>
      <c r="B86" s="569"/>
      <c r="C86" s="569"/>
      <c r="D86" s="569"/>
      <c r="E86" s="569"/>
      <c r="F86" s="65"/>
      <c r="G86" s="65"/>
      <c r="N86" s="60"/>
      <c r="P86" s="60"/>
      <c r="Q86" s="65"/>
      <c r="R86" s="65"/>
      <c r="S86" s="60"/>
      <c r="T86" s="60"/>
      <c r="U86" s="60"/>
      <c r="V86" s="60"/>
      <c r="W86" s="65"/>
      <c r="X86" s="60"/>
      <c r="Y86" s="60"/>
      <c r="Z86" s="306"/>
      <c r="AA86" s="60"/>
      <c r="AB86" s="60"/>
      <c r="AC86" s="60"/>
      <c r="AD86" s="60"/>
      <c r="AE86" s="60"/>
      <c r="AF86" s="7"/>
      <c r="AG86" s="139"/>
      <c r="AH86" s="139"/>
      <c r="AI86" s="139"/>
      <c r="AJ86" s="139"/>
      <c r="AK86" s="200">
        <v>11</v>
      </c>
    </row>
    <row r="87" spans="1:37" s="200" customFormat="1" ht="11.45" customHeight="1">
      <c r="A87" s="569"/>
      <c r="B87" s="569"/>
      <c r="C87" s="569"/>
      <c r="D87" s="569"/>
      <c r="E87" s="569"/>
      <c r="F87" s="65"/>
      <c r="G87" s="65"/>
      <c r="N87" s="60"/>
      <c r="P87" s="60"/>
      <c r="Q87" s="65"/>
      <c r="R87" s="65"/>
      <c r="S87" s="60"/>
      <c r="T87" s="60"/>
      <c r="U87" s="60"/>
      <c r="V87" s="60"/>
      <c r="W87" s="65"/>
      <c r="X87" s="60"/>
      <c r="Y87" s="60"/>
      <c r="Z87" s="306"/>
      <c r="AA87" s="60"/>
      <c r="AB87" s="60"/>
      <c r="AC87" s="60"/>
      <c r="AD87" s="60"/>
      <c r="AE87" s="60"/>
      <c r="AF87" s="7"/>
      <c r="AG87" s="139"/>
      <c r="AH87" s="139"/>
      <c r="AI87" s="139"/>
      <c r="AJ87" s="139"/>
      <c r="AK87" s="200">
        <v>11</v>
      </c>
    </row>
    <row r="88" spans="1:37" s="200" customFormat="1" ht="11.45" customHeight="1">
      <c r="A88" s="569"/>
      <c r="B88" s="569"/>
      <c r="C88" s="569"/>
      <c r="D88" s="569"/>
      <c r="E88" s="569"/>
      <c r="F88" s="65"/>
      <c r="G88" s="65"/>
      <c r="N88" s="60"/>
      <c r="P88" s="60"/>
      <c r="Q88" s="65"/>
      <c r="R88" s="65"/>
      <c r="S88" s="60"/>
      <c r="T88" s="60"/>
      <c r="U88" s="60"/>
      <c r="V88" s="60"/>
      <c r="W88" s="65"/>
      <c r="X88" s="60"/>
      <c r="Y88" s="60"/>
      <c r="Z88" s="306"/>
      <c r="AA88" s="60"/>
      <c r="AB88" s="60"/>
      <c r="AC88" s="60"/>
      <c r="AD88" s="60"/>
      <c r="AE88" s="60"/>
      <c r="AF88" s="7"/>
      <c r="AG88" s="139"/>
      <c r="AH88" s="139"/>
      <c r="AI88" s="139"/>
      <c r="AJ88" s="139"/>
      <c r="AK88" s="200">
        <v>11</v>
      </c>
    </row>
    <row r="89" spans="1:37" s="200" customFormat="1" ht="11.45" customHeight="1">
      <c r="A89" s="569"/>
      <c r="B89" s="569"/>
      <c r="C89" s="569"/>
      <c r="D89" s="569"/>
      <c r="E89" s="569"/>
      <c r="F89" s="65"/>
      <c r="G89" s="65"/>
      <c r="N89" s="60"/>
      <c r="P89" s="60"/>
      <c r="Q89" s="65"/>
      <c r="R89" s="65"/>
      <c r="S89" s="60"/>
      <c r="T89" s="60"/>
      <c r="U89" s="60"/>
      <c r="V89" s="60"/>
      <c r="W89" s="65"/>
      <c r="X89" s="60"/>
      <c r="Y89" s="60"/>
      <c r="Z89" s="306"/>
      <c r="AA89" s="60"/>
      <c r="AB89" s="60"/>
      <c r="AC89" s="60"/>
      <c r="AD89" s="60"/>
      <c r="AE89" s="60"/>
      <c r="AF89" s="7"/>
      <c r="AG89" s="139"/>
      <c r="AH89" s="139"/>
      <c r="AI89" s="139"/>
      <c r="AJ89" s="139"/>
      <c r="AK89" s="200">
        <v>11</v>
      </c>
    </row>
    <row r="90" spans="1:37" s="200" customFormat="1" ht="11.45" customHeight="1">
      <c r="A90" s="569"/>
      <c r="B90" s="569"/>
      <c r="C90" s="569"/>
      <c r="D90" s="569"/>
      <c r="E90" s="569"/>
      <c r="F90" s="65"/>
      <c r="G90" s="65"/>
      <c r="N90" s="60"/>
      <c r="P90" s="60"/>
      <c r="Q90" s="65"/>
      <c r="R90" s="65"/>
      <c r="S90" s="60"/>
      <c r="T90" s="60"/>
      <c r="U90" s="60"/>
      <c r="V90" s="60"/>
      <c r="W90" s="65"/>
      <c r="X90" s="60"/>
      <c r="Y90" s="60"/>
      <c r="Z90" s="306"/>
      <c r="AA90" s="60"/>
      <c r="AB90" s="60"/>
      <c r="AC90" s="60"/>
      <c r="AD90" s="60"/>
      <c r="AE90" s="60"/>
      <c r="AF90" s="7"/>
      <c r="AG90" s="139"/>
      <c r="AH90" s="139"/>
      <c r="AI90" s="139"/>
      <c r="AJ90" s="139"/>
      <c r="AK90" s="200">
        <v>11</v>
      </c>
    </row>
    <row r="91" spans="1:37" s="200" customFormat="1" ht="11.45" customHeight="1">
      <c r="A91" s="569"/>
      <c r="B91" s="569"/>
      <c r="C91" s="569"/>
      <c r="D91" s="569"/>
      <c r="E91" s="569"/>
      <c r="F91" s="65"/>
      <c r="G91" s="65"/>
      <c r="N91" s="60"/>
      <c r="P91" s="60"/>
      <c r="Q91" s="65"/>
      <c r="R91" s="65"/>
      <c r="S91" s="60"/>
      <c r="T91" s="60"/>
      <c r="U91" s="60"/>
      <c r="V91" s="60"/>
      <c r="W91" s="65"/>
      <c r="X91" s="60"/>
      <c r="Y91" s="60"/>
      <c r="Z91" s="306"/>
      <c r="AA91" s="60"/>
      <c r="AB91" s="60"/>
      <c r="AC91" s="60"/>
      <c r="AD91" s="60"/>
      <c r="AE91" s="60"/>
      <c r="AF91" s="7"/>
      <c r="AG91" s="139"/>
      <c r="AH91" s="139"/>
      <c r="AI91" s="139"/>
      <c r="AJ91" s="139"/>
      <c r="AK91" s="200">
        <v>11</v>
      </c>
    </row>
    <row r="92" spans="1:37" s="200" customFormat="1" ht="11.45" customHeight="1">
      <c r="A92" s="569"/>
      <c r="B92" s="569"/>
      <c r="C92" s="569"/>
      <c r="D92" s="569"/>
      <c r="E92" s="569"/>
      <c r="F92" s="65"/>
      <c r="G92" s="65"/>
      <c r="N92" s="60"/>
      <c r="P92" s="60"/>
      <c r="Q92" s="65"/>
      <c r="R92" s="65"/>
      <c r="S92" s="60"/>
      <c r="T92" s="60"/>
      <c r="U92" s="60"/>
      <c r="V92" s="60"/>
      <c r="W92" s="65"/>
      <c r="X92" s="60"/>
      <c r="Y92" s="60"/>
      <c r="Z92" s="306"/>
      <c r="AA92" s="60"/>
      <c r="AB92" s="60"/>
      <c r="AC92" s="60"/>
      <c r="AD92" s="60"/>
      <c r="AE92" s="60"/>
      <c r="AF92" s="7"/>
      <c r="AG92" s="139"/>
      <c r="AH92" s="139"/>
      <c r="AI92" s="139"/>
      <c r="AJ92" s="139"/>
      <c r="AK92" s="200">
        <v>11</v>
      </c>
    </row>
    <row r="93" spans="1:37" s="200" customFormat="1" ht="11.45" customHeight="1">
      <c r="A93" s="569"/>
      <c r="B93" s="569"/>
      <c r="C93" s="569"/>
      <c r="D93" s="569"/>
      <c r="E93" s="569"/>
      <c r="F93" s="65"/>
      <c r="G93" s="65"/>
      <c r="N93" s="60"/>
      <c r="P93" s="60"/>
      <c r="Q93" s="65"/>
      <c r="R93" s="65"/>
      <c r="S93" s="60"/>
      <c r="T93" s="60"/>
      <c r="U93" s="60"/>
      <c r="V93" s="60"/>
      <c r="W93" s="65"/>
      <c r="X93" s="60"/>
      <c r="Y93" s="60"/>
      <c r="Z93" s="306"/>
      <c r="AA93" s="60"/>
      <c r="AB93" s="60"/>
      <c r="AC93" s="60"/>
      <c r="AD93" s="60"/>
      <c r="AE93" s="60"/>
      <c r="AF93" s="7"/>
      <c r="AG93" s="139"/>
      <c r="AH93" s="139"/>
      <c r="AI93" s="139"/>
      <c r="AJ93" s="139"/>
      <c r="AK93" s="200">
        <v>11</v>
      </c>
    </row>
    <row r="94" spans="1:37" s="200" customFormat="1" ht="11.45" customHeight="1">
      <c r="A94" s="569"/>
      <c r="B94" s="569"/>
      <c r="C94" s="569"/>
      <c r="D94" s="569"/>
      <c r="E94" s="569"/>
      <c r="F94" s="65"/>
      <c r="G94" s="65"/>
      <c r="N94" s="60"/>
      <c r="P94" s="60"/>
      <c r="Q94" s="65"/>
      <c r="R94" s="65"/>
      <c r="S94" s="60"/>
      <c r="T94" s="60"/>
      <c r="U94" s="60"/>
      <c r="V94" s="60"/>
      <c r="W94" s="65"/>
      <c r="X94" s="60"/>
      <c r="Y94" s="60"/>
      <c r="Z94" s="306"/>
      <c r="AA94" s="60"/>
      <c r="AB94" s="60"/>
      <c r="AC94" s="60"/>
      <c r="AD94" s="60"/>
      <c r="AE94" s="60"/>
      <c r="AF94" s="7"/>
      <c r="AG94" s="139"/>
      <c r="AH94" s="139"/>
      <c r="AI94" s="139"/>
      <c r="AJ94" s="139"/>
      <c r="AK94" s="200">
        <v>11</v>
      </c>
    </row>
    <row r="95" spans="1:37" s="200" customFormat="1" ht="11.45" customHeight="1">
      <c r="A95" s="569"/>
      <c r="B95" s="569"/>
      <c r="C95" s="569"/>
      <c r="D95" s="569"/>
      <c r="E95" s="569"/>
      <c r="F95" s="65"/>
      <c r="G95" s="65"/>
      <c r="N95" s="60"/>
      <c r="P95" s="60"/>
      <c r="Q95" s="65"/>
      <c r="R95" s="65"/>
      <c r="S95" s="60"/>
      <c r="T95" s="60"/>
      <c r="U95" s="60"/>
      <c r="V95" s="60"/>
      <c r="W95" s="65"/>
      <c r="X95" s="60"/>
      <c r="Y95" s="60"/>
      <c r="Z95" s="306"/>
      <c r="AA95" s="60"/>
      <c r="AB95" s="60"/>
      <c r="AC95" s="60"/>
      <c r="AD95" s="60"/>
      <c r="AE95" s="60"/>
      <c r="AF95" s="7"/>
      <c r="AG95" s="139"/>
      <c r="AH95" s="139"/>
      <c r="AI95" s="139"/>
      <c r="AJ95" s="139"/>
      <c r="AK95" s="200">
        <v>11</v>
      </c>
    </row>
    <row r="96" spans="1:37" s="200" customFormat="1" ht="11.45" customHeight="1">
      <c r="A96" s="569"/>
      <c r="B96" s="569"/>
      <c r="C96" s="569"/>
      <c r="D96" s="569"/>
      <c r="E96" s="569"/>
      <c r="F96" s="65"/>
      <c r="G96" s="65"/>
      <c r="N96" s="60"/>
      <c r="P96" s="60"/>
      <c r="Q96" s="65"/>
      <c r="R96" s="65"/>
      <c r="S96" s="60"/>
      <c r="T96" s="60"/>
      <c r="U96" s="60"/>
      <c r="V96" s="60"/>
      <c r="W96" s="65"/>
      <c r="X96" s="60"/>
      <c r="Y96" s="60"/>
      <c r="Z96" s="306"/>
      <c r="AA96" s="60"/>
      <c r="AB96" s="60"/>
      <c r="AC96" s="60"/>
      <c r="AD96" s="60"/>
      <c r="AE96" s="60"/>
      <c r="AF96" s="7"/>
      <c r="AG96" s="139"/>
      <c r="AH96" s="139"/>
      <c r="AI96" s="139"/>
      <c r="AJ96" s="139"/>
      <c r="AK96" s="200">
        <v>11</v>
      </c>
    </row>
    <row r="97" spans="1:37" s="200" customFormat="1" ht="11.45" customHeight="1">
      <c r="A97" s="569"/>
      <c r="B97" s="569"/>
      <c r="C97" s="569"/>
      <c r="D97" s="569"/>
      <c r="E97" s="569"/>
      <c r="F97" s="65"/>
      <c r="G97" s="65"/>
      <c r="N97" s="60"/>
      <c r="P97" s="60"/>
      <c r="Q97" s="65"/>
      <c r="R97" s="65"/>
      <c r="S97" s="60"/>
      <c r="T97" s="60"/>
      <c r="U97" s="60"/>
      <c r="V97" s="60"/>
      <c r="W97" s="65"/>
      <c r="X97" s="60"/>
      <c r="Y97" s="60"/>
      <c r="Z97" s="306"/>
      <c r="AA97" s="60"/>
      <c r="AB97" s="60"/>
      <c r="AC97" s="60"/>
      <c r="AD97" s="60"/>
      <c r="AE97" s="60"/>
      <c r="AF97" s="7"/>
      <c r="AG97" s="139"/>
      <c r="AH97" s="139"/>
      <c r="AI97" s="139"/>
      <c r="AJ97" s="139"/>
      <c r="AK97" s="200">
        <v>11</v>
      </c>
    </row>
    <row r="98" spans="1:37" s="200" customFormat="1" ht="11.45" customHeight="1">
      <c r="A98" s="569"/>
      <c r="B98" s="569"/>
      <c r="C98" s="569"/>
      <c r="D98" s="569"/>
      <c r="E98" s="569"/>
      <c r="F98" s="65"/>
      <c r="G98" s="65"/>
      <c r="N98" s="60"/>
      <c r="P98" s="60"/>
      <c r="Q98" s="65"/>
      <c r="R98" s="65"/>
      <c r="S98" s="60"/>
      <c r="T98" s="60"/>
      <c r="U98" s="60"/>
      <c r="V98" s="60"/>
      <c r="W98" s="65"/>
      <c r="X98" s="60"/>
      <c r="Y98" s="60"/>
      <c r="Z98" s="306"/>
      <c r="AA98" s="60"/>
      <c r="AB98" s="60"/>
      <c r="AC98" s="60"/>
      <c r="AD98" s="60"/>
      <c r="AE98" s="60"/>
      <c r="AF98" s="7"/>
      <c r="AG98" s="139"/>
      <c r="AH98" s="139"/>
      <c r="AI98" s="139"/>
      <c r="AJ98" s="139"/>
      <c r="AK98" s="200">
        <v>11</v>
      </c>
    </row>
    <row r="99" spans="1:37" s="200" customFormat="1" ht="11.45" customHeight="1">
      <c r="A99" s="569"/>
      <c r="B99" s="569"/>
      <c r="C99" s="569"/>
      <c r="D99" s="569"/>
      <c r="E99" s="569"/>
      <c r="F99" s="65"/>
      <c r="G99" s="65"/>
      <c r="N99" s="60"/>
      <c r="P99" s="60"/>
      <c r="Q99" s="65"/>
      <c r="R99" s="65"/>
      <c r="S99" s="60"/>
      <c r="T99" s="60"/>
      <c r="U99" s="60"/>
      <c r="V99" s="60"/>
      <c r="W99" s="65"/>
      <c r="X99" s="60"/>
      <c r="Y99" s="60"/>
      <c r="Z99" s="306"/>
      <c r="AA99" s="60"/>
      <c r="AB99" s="60"/>
      <c r="AC99" s="60"/>
      <c r="AD99" s="60"/>
      <c r="AE99" s="60"/>
      <c r="AF99" s="7"/>
      <c r="AG99" s="139"/>
      <c r="AH99" s="139"/>
      <c r="AI99" s="139"/>
      <c r="AJ99" s="139"/>
      <c r="AK99" s="200">
        <v>11</v>
      </c>
    </row>
    <row r="100" spans="1:37" s="200" customFormat="1" ht="11.45" customHeight="1">
      <c r="A100" s="569"/>
      <c r="B100" s="569"/>
      <c r="C100" s="569"/>
      <c r="D100" s="569"/>
      <c r="E100" s="569"/>
      <c r="F100" s="65"/>
      <c r="G100" s="65"/>
      <c r="N100" s="60"/>
      <c r="P100" s="60"/>
      <c r="Q100" s="65"/>
      <c r="R100" s="65"/>
      <c r="S100" s="60"/>
      <c r="T100" s="60"/>
      <c r="U100" s="60"/>
      <c r="V100" s="60"/>
      <c r="W100" s="65"/>
      <c r="X100" s="60"/>
      <c r="Y100" s="60"/>
      <c r="Z100" s="306"/>
      <c r="AA100" s="60"/>
      <c r="AB100" s="60"/>
      <c r="AC100" s="60"/>
      <c r="AD100" s="60"/>
      <c r="AE100" s="60"/>
      <c r="AF100" s="7"/>
      <c r="AG100" s="139"/>
      <c r="AH100" s="139"/>
      <c r="AI100" s="139"/>
      <c r="AJ100" s="139"/>
      <c r="AK100" s="200">
        <v>11</v>
      </c>
    </row>
    <row r="101" spans="1:37" s="200" customFormat="1" ht="11.45" customHeight="1">
      <c r="A101" s="569"/>
      <c r="B101" s="569"/>
      <c r="C101" s="569"/>
      <c r="D101" s="569"/>
      <c r="E101" s="569"/>
      <c r="F101" s="65"/>
      <c r="G101" s="65"/>
      <c r="N101" s="60"/>
      <c r="P101" s="60"/>
      <c r="Q101" s="65"/>
      <c r="R101" s="65"/>
      <c r="S101" s="60"/>
      <c r="T101" s="60"/>
      <c r="U101" s="60"/>
      <c r="V101" s="60"/>
      <c r="W101" s="65"/>
      <c r="X101" s="60"/>
      <c r="Y101" s="60"/>
      <c r="Z101" s="306"/>
      <c r="AA101" s="60"/>
      <c r="AB101" s="60"/>
      <c r="AC101" s="60"/>
      <c r="AD101" s="60"/>
      <c r="AE101" s="60"/>
      <c r="AF101" s="7"/>
      <c r="AG101" s="139"/>
      <c r="AH101" s="139"/>
      <c r="AI101" s="139"/>
      <c r="AJ101" s="139"/>
      <c r="AK101" s="200">
        <v>11</v>
      </c>
    </row>
    <row r="102" spans="1:37" s="200" customFormat="1" ht="11.45" customHeight="1">
      <c r="A102" s="569"/>
      <c r="B102" s="569"/>
      <c r="C102" s="569"/>
      <c r="D102" s="569"/>
      <c r="E102" s="569"/>
      <c r="F102" s="65"/>
      <c r="G102" s="65"/>
      <c r="N102" s="60"/>
      <c r="P102" s="60"/>
      <c r="Q102" s="65"/>
      <c r="R102" s="65"/>
      <c r="S102" s="60"/>
      <c r="T102" s="60"/>
      <c r="U102" s="60"/>
      <c r="V102" s="60"/>
      <c r="W102" s="65"/>
      <c r="X102" s="60"/>
      <c r="Y102" s="60"/>
      <c r="Z102" s="306"/>
      <c r="AA102" s="60"/>
      <c r="AB102" s="60"/>
      <c r="AC102" s="60"/>
      <c r="AD102" s="60"/>
      <c r="AE102" s="60"/>
      <c r="AF102" s="7"/>
      <c r="AG102" s="139"/>
      <c r="AH102" s="139"/>
      <c r="AI102" s="139"/>
      <c r="AJ102" s="139"/>
      <c r="AK102" s="200">
        <v>11</v>
      </c>
    </row>
    <row r="103" spans="1:37" s="200" customFormat="1" ht="11.45" customHeight="1">
      <c r="A103" s="569"/>
      <c r="B103" s="569"/>
      <c r="C103" s="569"/>
      <c r="D103" s="569"/>
      <c r="E103" s="569"/>
      <c r="F103" s="65"/>
      <c r="G103" s="65"/>
      <c r="N103" s="60"/>
      <c r="P103" s="60"/>
      <c r="Q103" s="65"/>
      <c r="R103" s="65"/>
      <c r="S103" s="60"/>
      <c r="T103" s="60"/>
      <c r="U103" s="60"/>
      <c r="V103" s="60"/>
      <c r="W103" s="65"/>
      <c r="X103" s="60"/>
      <c r="Y103" s="60"/>
      <c r="Z103" s="306"/>
      <c r="AA103" s="60"/>
      <c r="AB103" s="60"/>
      <c r="AC103" s="60"/>
      <c r="AD103" s="60"/>
      <c r="AE103" s="60"/>
      <c r="AF103" s="7"/>
      <c r="AG103" s="139"/>
      <c r="AH103" s="139"/>
      <c r="AI103" s="139"/>
      <c r="AJ103" s="139"/>
      <c r="AK103" s="200">
        <v>11</v>
      </c>
    </row>
    <row r="104" spans="1:37" s="200" customFormat="1" ht="11.45" customHeight="1">
      <c r="A104" s="569"/>
      <c r="B104" s="569"/>
      <c r="C104" s="569"/>
      <c r="D104" s="569"/>
      <c r="E104" s="569"/>
      <c r="F104" s="65"/>
      <c r="G104" s="65"/>
      <c r="N104" s="60"/>
      <c r="P104" s="60"/>
      <c r="Q104" s="65"/>
      <c r="R104" s="65"/>
      <c r="S104" s="60"/>
      <c r="T104" s="60"/>
      <c r="U104" s="60"/>
      <c r="V104" s="60"/>
      <c r="W104" s="65"/>
      <c r="X104" s="60"/>
      <c r="Y104" s="60"/>
      <c r="Z104" s="306"/>
      <c r="AA104" s="60"/>
      <c r="AB104" s="60"/>
      <c r="AC104" s="60"/>
      <c r="AD104" s="60"/>
      <c r="AE104" s="60"/>
      <c r="AF104" s="7"/>
      <c r="AG104" s="139"/>
      <c r="AH104" s="139"/>
      <c r="AI104" s="139"/>
      <c r="AJ104" s="139"/>
      <c r="AK104" s="200">
        <v>11</v>
      </c>
    </row>
    <row r="105" spans="1:37" s="200" customFormat="1" ht="11.45" customHeight="1">
      <c r="A105" s="569"/>
      <c r="B105" s="569"/>
      <c r="C105" s="569"/>
      <c r="D105" s="569"/>
      <c r="E105" s="569"/>
      <c r="F105" s="65"/>
      <c r="G105" s="65"/>
      <c r="N105" s="60"/>
      <c r="P105" s="60"/>
      <c r="Q105" s="65"/>
      <c r="R105" s="65"/>
      <c r="S105" s="60"/>
      <c r="T105" s="60"/>
      <c r="U105" s="60"/>
      <c r="V105" s="60"/>
      <c r="W105" s="65"/>
      <c r="X105" s="60"/>
      <c r="Y105" s="60"/>
      <c r="Z105" s="306"/>
      <c r="AA105" s="60"/>
      <c r="AB105" s="60"/>
      <c r="AC105" s="60"/>
      <c r="AD105" s="60"/>
      <c r="AE105" s="60"/>
      <c r="AF105" s="7"/>
      <c r="AG105" s="139"/>
      <c r="AH105" s="139"/>
      <c r="AI105" s="139"/>
      <c r="AJ105" s="139"/>
      <c r="AK105" s="200">
        <v>11</v>
      </c>
    </row>
    <row r="106" spans="1:37" s="200" customFormat="1" ht="11.45" customHeight="1">
      <c r="A106" s="569"/>
      <c r="B106" s="569"/>
      <c r="C106" s="569"/>
      <c r="D106" s="569"/>
      <c r="E106" s="569"/>
      <c r="F106" s="65"/>
      <c r="G106" s="65"/>
      <c r="N106" s="60"/>
      <c r="P106" s="60"/>
      <c r="Q106" s="65"/>
      <c r="R106" s="65"/>
      <c r="S106" s="60"/>
      <c r="T106" s="60"/>
      <c r="U106" s="60"/>
      <c r="V106" s="60"/>
      <c r="W106" s="65"/>
      <c r="X106" s="60"/>
      <c r="Y106" s="60"/>
      <c r="Z106" s="306"/>
      <c r="AA106" s="60"/>
      <c r="AB106" s="60"/>
      <c r="AC106" s="60"/>
      <c r="AD106" s="60"/>
      <c r="AE106" s="60"/>
      <c r="AF106" s="7"/>
      <c r="AG106" s="139"/>
      <c r="AH106" s="139"/>
      <c r="AI106" s="139"/>
      <c r="AJ106" s="139"/>
      <c r="AK106" s="200">
        <v>11</v>
      </c>
    </row>
    <row r="107" spans="1:37" s="200" customFormat="1" ht="11.45" customHeight="1">
      <c r="A107" s="569"/>
      <c r="B107" s="569"/>
      <c r="C107" s="569"/>
      <c r="D107" s="569"/>
      <c r="E107" s="569"/>
      <c r="F107" s="65"/>
      <c r="G107" s="65"/>
      <c r="N107" s="60"/>
      <c r="P107" s="60"/>
      <c r="Q107" s="65"/>
      <c r="R107" s="65"/>
      <c r="S107" s="60"/>
      <c r="T107" s="60"/>
      <c r="U107" s="60"/>
      <c r="V107" s="60"/>
      <c r="W107" s="65"/>
      <c r="X107" s="60"/>
      <c r="Y107" s="60"/>
      <c r="Z107" s="306"/>
      <c r="AA107" s="60"/>
      <c r="AB107" s="60"/>
      <c r="AC107" s="60"/>
      <c r="AD107" s="60"/>
      <c r="AE107" s="60"/>
      <c r="AF107" s="7"/>
      <c r="AG107" s="139"/>
      <c r="AH107" s="139"/>
      <c r="AI107" s="139"/>
      <c r="AJ107" s="139"/>
      <c r="AK107" s="200">
        <v>11</v>
      </c>
    </row>
    <row r="108" spans="1:37" s="200" customFormat="1" ht="11.45" customHeight="1">
      <c r="A108" s="569"/>
      <c r="B108" s="569"/>
      <c r="C108" s="569"/>
      <c r="D108" s="569"/>
      <c r="E108" s="569"/>
      <c r="F108" s="65"/>
      <c r="G108" s="65"/>
      <c r="N108" s="60"/>
      <c r="P108" s="60"/>
      <c r="Q108" s="65"/>
      <c r="R108" s="65"/>
      <c r="S108" s="60"/>
      <c r="T108" s="60"/>
      <c r="U108" s="60"/>
      <c r="V108" s="60"/>
      <c r="W108" s="65"/>
      <c r="X108" s="60"/>
      <c r="Y108" s="60"/>
      <c r="Z108" s="306"/>
      <c r="AA108" s="60"/>
      <c r="AB108" s="60"/>
      <c r="AC108" s="60"/>
      <c r="AD108" s="60"/>
      <c r="AE108" s="60"/>
      <c r="AF108" s="7"/>
      <c r="AG108" s="139"/>
      <c r="AH108" s="139"/>
      <c r="AI108" s="139"/>
      <c r="AJ108" s="139"/>
      <c r="AK108" s="200">
        <v>11</v>
      </c>
    </row>
    <row r="109" spans="1:37" s="200" customFormat="1" ht="11.45" customHeight="1">
      <c r="A109" s="569"/>
      <c r="B109" s="569"/>
      <c r="C109" s="569"/>
      <c r="D109" s="569"/>
      <c r="E109" s="569"/>
      <c r="F109" s="65"/>
      <c r="G109" s="65"/>
      <c r="N109" s="60"/>
      <c r="P109" s="60"/>
      <c r="Q109" s="65"/>
      <c r="R109" s="65"/>
      <c r="S109" s="60"/>
      <c r="T109" s="60"/>
      <c r="U109" s="60"/>
      <c r="V109" s="60"/>
      <c r="W109" s="65"/>
      <c r="X109" s="60"/>
      <c r="Y109" s="60"/>
      <c r="Z109" s="306"/>
      <c r="AA109" s="60"/>
      <c r="AB109" s="60"/>
      <c r="AC109" s="60"/>
      <c r="AD109" s="60"/>
      <c r="AE109" s="60"/>
      <c r="AF109" s="7"/>
      <c r="AG109" s="139"/>
      <c r="AH109" s="139"/>
      <c r="AI109" s="139"/>
      <c r="AJ109" s="139"/>
      <c r="AK109" s="200">
        <v>11</v>
      </c>
    </row>
    <row r="110" spans="1:37" s="200" customFormat="1" ht="11.45" customHeight="1">
      <c r="A110" s="569"/>
      <c r="B110" s="569"/>
      <c r="C110" s="569"/>
      <c r="D110" s="569"/>
      <c r="E110" s="569"/>
      <c r="F110" s="65"/>
      <c r="G110" s="65"/>
      <c r="N110" s="60"/>
      <c r="P110" s="60"/>
      <c r="Q110" s="65"/>
      <c r="R110" s="65"/>
      <c r="S110" s="60"/>
      <c r="T110" s="60"/>
      <c r="U110" s="60"/>
      <c r="V110" s="60"/>
      <c r="W110" s="65"/>
      <c r="X110" s="60"/>
      <c r="Y110" s="60"/>
      <c r="Z110" s="306"/>
      <c r="AA110" s="60"/>
      <c r="AB110" s="60"/>
      <c r="AC110" s="60"/>
      <c r="AD110" s="60"/>
      <c r="AE110" s="60"/>
      <c r="AF110" s="7"/>
      <c r="AG110" s="139"/>
      <c r="AH110" s="139"/>
      <c r="AI110" s="139"/>
      <c r="AJ110" s="139"/>
      <c r="AK110" s="200">
        <v>11</v>
      </c>
    </row>
    <row r="111" spans="1:37" s="200" customFormat="1" ht="11.45" customHeight="1">
      <c r="A111" s="569"/>
      <c r="B111" s="569"/>
      <c r="C111" s="569"/>
      <c r="D111" s="569"/>
      <c r="E111" s="569"/>
      <c r="F111" s="65"/>
      <c r="G111" s="65"/>
      <c r="N111" s="60"/>
      <c r="P111" s="60"/>
      <c r="Q111" s="65"/>
      <c r="R111" s="65"/>
      <c r="S111" s="60"/>
      <c r="T111" s="60"/>
      <c r="U111" s="60"/>
      <c r="V111" s="60"/>
      <c r="W111" s="65"/>
      <c r="X111" s="60"/>
      <c r="Y111" s="60"/>
      <c r="Z111" s="306"/>
      <c r="AA111" s="60"/>
      <c r="AB111" s="60"/>
      <c r="AC111" s="60"/>
      <c r="AD111" s="60"/>
      <c r="AE111" s="60"/>
      <c r="AF111" s="7"/>
      <c r="AG111" s="139"/>
      <c r="AH111" s="139"/>
      <c r="AI111" s="139"/>
      <c r="AJ111" s="139"/>
      <c r="AK111" s="200">
        <v>11</v>
      </c>
    </row>
    <row r="112" spans="1:37" s="200" customFormat="1" ht="11.45" customHeight="1">
      <c r="A112" s="569"/>
      <c r="B112" s="569"/>
      <c r="C112" s="569"/>
      <c r="D112" s="569"/>
      <c r="E112" s="569"/>
      <c r="F112" s="65"/>
      <c r="G112" s="65"/>
      <c r="N112" s="60"/>
      <c r="P112" s="60"/>
      <c r="Q112" s="65"/>
      <c r="R112" s="65"/>
      <c r="S112" s="60"/>
      <c r="T112" s="60"/>
      <c r="U112" s="60"/>
      <c r="V112" s="60"/>
      <c r="W112" s="65"/>
      <c r="X112" s="60"/>
      <c r="Y112" s="60"/>
      <c r="Z112" s="306"/>
      <c r="AA112" s="60"/>
      <c r="AB112" s="60"/>
      <c r="AC112" s="60"/>
      <c r="AD112" s="60"/>
      <c r="AE112" s="60"/>
      <c r="AF112" s="7"/>
      <c r="AG112" s="139"/>
      <c r="AH112" s="139"/>
      <c r="AI112" s="139"/>
      <c r="AJ112" s="139"/>
      <c r="AK112" s="200">
        <v>11</v>
      </c>
    </row>
    <row r="113" spans="1:37" s="200" customFormat="1" ht="11.45" customHeight="1">
      <c r="A113" s="569"/>
      <c r="B113" s="569"/>
      <c r="C113" s="569"/>
      <c r="D113" s="569"/>
      <c r="E113" s="569"/>
      <c r="F113" s="65"/>
      <c r="G113" s="65"/>
      <c r="N113" s="60"/>
      <c r="P113" s="60"/>
      <c r="Q113" s="65"/>
      <c r="R113" s="65"/>
      <c r="S113" s="60"/>
      <c r="T113" s="60"/>
      <c r="U113" s="60"/>
      <c r="V113" s="60"/>
      <c r="W113" s="65"/>
      <c r="X113" s="60"/>
      <c r="Y113" s="60"/>
      <c r="Z113" s="306"/>
      <c r="AA113" s="60"/>
      <c r="AB113" s="60"/>
      <c r="AC113" s="60"/>
      <c r="AD113" s="60"/>
      <c r="AE113" s="60"/>
      <c r="AF113" s="7"/>
      <c r="AG113" s="139"/>
      <c r="AH113" s="139"/>
      <c r="AI113" s="139"/>
      <c r="AJ113" s="139"/>
      <c r="AK113" s="200">
        <v>11</v>
      </c>
    </row>
    <row r="114" spans="1:37" s="200" customFormat="1" ht="11.45" customHeight="1">
      <c r="A114" s="569"/>
      <c r="B114" s="569"/>
      <c r="C114" s="569"/>
      <c r="D114" s="569"/>
      <c r="E114" s="569"/>
      <c r="F114" s="65"/>
      <c r="G114" s="65"/>
      <c r="N114" s="60"/>
      <c r="P114" s="60"/>
      <c r="Q114" s="65"/>
      <c r="R114" s="65"/>
      <c r="S114" s="60"/>
      <c r="T114" s="60"/>
      <c r="U114" s="60"/>
      <c r="V114" s="60"/>
      <c r="W114" s="65"/>
      <c r="X114" s="60"/>
      <c r="Y114" s="60"/>
      <c r="Z114" s="306"/>
      <c r="AA114" s="60"/>
      <c r="AB114" s="60"/>
      <c r="AC114" s="60"/>
      <c r="AD114" s="60"/>
      <c r="AE114" s="60"/>
      <c r="AF114" s="7"/>
      <c r="AG114" s="139"/>
      <c r="AH114" s="139"/>
      <c r="AI114" s="139"/>
      <c r="AJ114" s="139"/>
      <c r="AK114" s="200">
        <v>11</v>
      </c>
    </row>
    <row r="115" spans="1:37" s="200" customFormat="1" ht="11.45" customHeight="1">
      <c r="A115" s="569"/>
      <c r="B115" s="569"/>
      <c r="C115" s="569"/>
      <c r="D115" s="569"/>
      <c r="E115" s="569"/>
      <c r="F115" s="65"/>
      <c r="G115" s="65"/>
      <c r="N115" s="60"/>
      <c r="P115" s="60"/>
      <c r="Q115" s="65"/>
      <c r="R115" s="65"/>
      <c r="S115" s="60"/>
      <c r="T115" s="60"/>
      <c r="U115" s="60"/>
      <c r="V115" s="60"/>
      <c r="W115" s="65"/>
      <c r="X115" s="60"/>
      <c r="Y115" s="60"/>
      <c r="Z115" s="306"/>
      <c r="AA115" s="60"/>
      <c r="AB115" s="60"/>
      <c r="AC115" s="60"/>
      <c r="AD115" s="60"/>
      <c r="AE115" s="60"/>
      <c r="AF115" s="7"/>
      <c r="AG115" s="139"/>
      <c r="AH115" s="139"/>
      <c r="AI115" s="139"/>
      <c r="AJ115" s="139"/>
      <c r="AK115" s="200">
        <v>11</v>
      </c>
    </row>
    <row r="116" spans="1:37" s="200" customFormat="1" ht="11.45" customHeight="1">
      <c r="A116" s="569"/>
      <c r="B116" s="569"/>
      <c r="C116" s="569"/>
      <c r="D116" s="569"/>
      <c r="E116" s="569"/>
      <c r="F116" s="65"/>
      <c r="G116" s="65"/>
      <c r="N116" s="60"/>
      <c r="P116" s="60"/>
      <c r="Q116" s="65"/>
      <c r="R116" s="65"/>
      <c r="S116" s="60"/>
      <c r="T116" s="60"/>
      <c r="U116" s="60"/>
      <c r="V116" s="60"/>
      <c r="W116" s="65"/>
      <c r="X116" s="60"/>
      <c r="Y116" s="60"/>
      <c r="Z116" s="306"/>
      <c r="AA116" s="60"/>
      <c r="AB116" s="60"/>
      <c r="AC116" s="60"/>
      <c r="AD116" s="60"/>
      <c r="AE116" s="60"/>
      <c r="AF116" s="7"/>
      <c r="AG116" s="139"/>
      <c r="AH116" s="139"/>
      <c r="AI116" s="139"/>
      <c r="AJ116" s="139"/>
      <c r="AK116" s="200">
        <v>11</v>
      </c>
    </row>
    <row r="117" spans="1:37" s="200" customFormat="1" ht="11.45" customHeight="1">
      <c r="A117" s="569"/>
      <c r="B117" s="569"/>
      <c r="C117" s="569"/>
      <c r="D117" s="569"/>
      <c r="E117" s="569"/>
      <c r="F117" s="65"/>
      <c r="G117" s="65"/>
      <c r="N117" s="60"/>
      <c r="P117" s="60"/>
      <c r="Q117" s="65"/>
      <c r="R117" s="65"/>
      <c r="S117" s="60"/>
      <c r="T117" s="60"/>
      <c r="U117" s="60"/>
      <c r="V117" s="60"/>
      <c r="W117" s="65"/>
      <c r="X117" s="60"/>
      <c r="Y117" s="60"/>
      <c r="Z117" s="306"/>
      <c r="AA117" s="60"/>
      <c r="AB117" s="60"/>
      <c r="AC117" s="60"/>
      <c r="AD117" s="60"/>
      <c r="AE117" s="60"/>
      <c r="AF117" s="7"/>
      <c r="AG117" s="139"/>
      <c r="AH117" s="139"/>
      <c r="AI117" s="139"/>
      <c r="AJ117" s="139"/>
      <c r="AK117" s="200">
        <v>11</v>
      </c>
    </row>
    <row r="118" spans="1:37" s="200" customFormat="1" ht="11.45" customHeight="1">
      <c r="A118" s="569"/>
      <c r="B118" s="569"/>
      <c r="C118" s="569"/>
      <c r="D118" s="569"/>
      <c r="E118" s="569"/>
      <c r="F118" s="65"/>
      <c r="G118" s="65"/>
      <c r="N118" s="60"/>
      <c r="P118" s="60"/>
      <c r="Q118" s="65"/>
      <c r="R118" s="65"/>
      <c r="S118" s="60"/>
      <c r="T118" s="60"/>
      <c r="U118" s="60"/>
      <c r="V118" s="60"/>
      <c r="W118" s="65"/>
      <c r="X118" s="60"/>
      <c r="Y118" s="60"/>
      <c r="Z118" s="306"/>
      <c r="AA118" s="60"/>
      <c r="AB118" s="60"/>
      <c r="AC118" s="60"/>
      <c r="AD118" s="60"/>
      <c r="AE118" s="60"/>
      <c r="AF118" s="7"/>
      <c r="AG118" s="139"/>
      <c r="AH118" s="139"/>
      <c r="AI118" s="139"/>
      <c r="AJ118" s="139"/>
      <c r="AK118" s="200">
        <v>11</v>
      </c>
    </row>
    <row r="119" spans="1:37" s="200" customFormat="1" ht="11.45" customHeight="1">
      <c r="A119" s="569"/>
      <c r="B119" s="569"/>
      <c r="C119" s="569"/>
      <c r="D119" s="569"/>
      <c r="E119" s="569"/>
      <c r="F119" s="65"/>
      <c r="G119" s="65"/>
      <c r="N119" s="60"/>
      <c r="P119" s="60"/>
      <c r="Q119" s="65"/>
      <c r="R119" s="65"/>
      <c r="S119" s="60"/>
      <c r="T119" s="60"/>
      <c r="U119" s="60"/>
      <c r="V119" s="60"/>
      <c r="W119" s="65"/>
      <c r="X119" s="60"/>
      <c r="Y119" s="60"/>
      <c r="Z119" s="306"/>
      <c r="AA119" s="60"/>
      <c r="AB119" s="60"/>
      <c r="AC119" s="60"/>
      <c r="AD119" s="60"/>
      <c r="AE119" s="60"/>
      <c r="AF119" s="7"/>
      <c r="AG119" s="139"/>
      <c r="AH119" s="139"/>
      <c r="AI119" s="139"/>
      <c r="AJ119" s="139"/>
      <c r="AK119" s="200">
        <v>11</v>
      </c>
    </row>
    <row r="120" spans="1:37" s="200" customFormat="1" ht="11.45" customHeight="1">
      <c r="A120" s="569"/>
      <c r="B120" s="569"/>
      <c r="C120" s="569"/>
      <c r="D120" s="569"/>
      <c r="E120" s="569"/>
      <c r="F120" s="65"/>
      <c r="G120" s="65"/>
      <c r="N120" s="60"/>
      <c r="P120" s="60"/>
      <c r="Q120" s="65"/>
      <c r="R120" s="65"/>
      <c r="S120" s="60"/>
      <c r="T120" s="60"/>
      <c r="U120" s="60"/>
      <c r="V120" s="60"/>
      <c r="W120" s="65"/>
      <c r="X120" s="60"/>
      <c r="Y120" s="60"/>
      <c r="Z120" s="306"/>
      <c r="AA120" s="60"/>
      <c r="AB120" s="60"/>
      <c r="AC120" s="60"/>
      <c r="AD120" s="60"/>
      <c r="AE120" s="60"/>
      <c r="AF120" s="7"/>
      <c r="AG120" s="139"/>
      <c r="AH120" s="139"/>
      <c r="AI120" s="139"/>
      <c r="AJ120" s="139"/>
      <c r="AK120" s="200">
        <v>11</v>
      </c>
    </row>
    <row r="121" spans="1:37" s="200" customFormat="1" ht="11.45" customHeight="1">
      <c r="A121" s="569"/>
      <c r="B121" s="569"/>
      <c r="C121" s="569"/>
      <c r="D121" s="569"/>
      <c r="E121" s="569"/>
      <c r="F121" s="65"/>
      <c r="G121" s="65"/>
      <c r="N121" s="60"/>
      <c r="P121" s="60"/>
      <c r="Q121" s="65"/>
      <c r="R121" s="65"/>
      <c r="S121" s="60"/>
      <c r="T121" s="60"/>
      <c r="U121" s="60"/>
      <c r="V121" s="60"/>
      <c r="W121" s="65"/>
      <c r="X121" s="60"/>
      <c r="Y121" s="60"/>
      <c r="Z121" s="306"/>
      <c r="AA121" s="60"/>
      <c r="AB121" s="60"/>
      <c r="AC121" s="60"/>
      <c r="AD121" s="60"/>
      <c r="AE121" s="60"/>
      <c r="AF121" s="7"/>
      <c r="AG121" s="139"/>
      <c r="AH121" s="139"/>
      <c r="AI121" s="139"/>
      <c r="AJ121" s="139"/>
      <c r="AK121" s="200">
        <v>11</v>
      </c>
    </row>
    <row r="122" spans="1:37" s="200" customFormat="1" ht="11.45" customHeight="1">
      <c r="A122" s="569"/>
      <c r="B122" s="569"/>
      <c r="C122" s="569"/>
      <c r="D122" s="569"/>
      <c r="E122" s="569"/>
      <c r="F122" s="65"/>
      <c r="G122" s="65"/>
      <c r="N122" s="60"/>
      <c r="P122" s="60"/>
      <c r="Q122" s="65"/>
      <c r="R122" s="65"/>
      <c r="S122" s="60"/>
      <c r="T122" s="60"/>
      <c r="U122" s="60"/>
      <c r="V122" s="60"/>
      <c r="W122" s="65"/>
      <c r="X122" s="60"/>
      <c r="Y122" s="60"/>
      <c r="Z122" s="306"/>
      <c r="AA122" s="60"/>
      <c r="AB122" s="60"/>
      <c r="AC122" s="60"/>
      <c r="AD122" s="60"/>
      <c r="AE122" s="60"/>
      <c r="AF122" s="7"/>
      <c r="AG122" s="139"/>
      <c r="AH122" s="139"/>
      <c r="AI122" s="139"/>
      <c r="AJ122" s="139"/>
      <c r="AK122" s="200">
        <v>11</v>
      </c>
    </row>
    <row r="123" spans="1:37" s="200" customFormat="1" ht="11.45" customHeight="1">
      <c r="A123" s="569"/>
      <c r="B123" s="569"/>
      <c r="C123" s="569"/>
      <c r="D123" s="569"/>
      <c r="E123" s="569"/>
      <c r="F123" s="65"/>
      <c r="G123" s="65"/>
      <c r="N123" s="60"/>
      <c r="P123" s="60"/>
      <c r="Q123" s="65"/>
      <c r="R123" s="65"/>
      <c r="S123" s="60"/>
      <c r="T123" s="60"/>
      <c r="U123" s="60"/>
      <c r="V123" s="60"/>
      <c r="W123" s="65"/>
      <c r="X123" s="60"/>
      <c r="Y123" s="60"/>
      <c r="Z123" s="306"/>
      <c r="AA123" s="60"/>
      <c r="AB123" s="60"/>
      <c r="AC123" s="60"/>
      <c r="AD123" s="60"/>
      <c r="AE123" s="60"/>
      <c r="AF123" s="7"/>
      <c r="AG123" s="139"/>
      <c r="AH123" s="139"/>
      <c r="AI123" s="139"/>
      <c r="AJ123" s="139"/>
      <c r="AK123" s="200">
        <v>11</v>
      </c>
    </row>
    <row r="124" spans="1:37" s="200" customFormat="1" ht="11.45" customHeight="1">
      <c r="A124" s="569"/>
      <c r="B124" s="569"/>
      <c r="C124" s="569"/>
      <c r="D124" s="569"/>
      <c r="E124" s="569"/>
      <c r="F124" s="65"/>
      <c r="G124" s="65"/>
      <c r="N124" s="60"/>
      <c r="P124" s="60"/>
      <c r="Q124" s="65"/>
      <c r="R124" s="65"/>
      <c r="S124" s="60"/>
      <c r="T124" s="60"/>
      <c r="U124" s="60"/>
      <c r="V124" s="60"/>
      <c r="W124" s="65"/>
      <c r="X124" s="60"/>
      <c r="Y124" s="60"/>
      <c r="Z124" s="306"/>
      <c r="AA124" s="60"/>
      <c r="AB124" s="60"/>
      <c r="AC124" s="60"/>
      <c r="AD124" s="60"/>
      <c r="AE124" s="60"/>
      <c r="AF124" s="7"/>
      <c r="AG124" s="139"/>
      <c r="AH124" s="139"/>
      <c r="AI124" s="139"/>
      <c r="AJ124" s="139"/>
      <c r="AK124" s="200">
        <v>11</v>
      </c>
    </row>
    <row r="125" spans="1:37" s="200" customFormat="1" ht="11.45" customHeight="1">
      <c r="A125" s="569"/>
      <c r="B125" s="569"/>
      <c r="C125" s="569"/>
      <c r="D125" s="569"/>
      <c r="E125" s="569"/>
      <c r="F125" s="65"/>
      <c r="G125" s="65"/>
      <c r="N125" s="60"/>
      <c r="P125" s="60"/>
      <c r="Q125" s="65"/>
      <c r="R125" s="65"/>
      <c r="S125" s="60"/>
      <c r="T125" s="60"/>
      <c r="U125" s="60"/>
      <c r="V125" s="60"/>
      <c r="W125" s="65"/>
      <c r="X125" s="60"/>
      <c r="Y125" s="60"/>
      <c r="Z125" s="306"/>
      <c r="AA125" s="60"/>
      <c r="AB125" s="60"/>
      <c r="AC125" s="60"/>
      <c r="AD125" s="60"/>
      <c r="AE125" s="60"/>
      <c r="AF125" s="7"/>
      <c r="AG125" s="139"/>
      <c r="AH125" s="139"/>
      <c r="AI125" s="139"/>
      <c r="AJ125" s="139"/>
      <c r="AK125" s="200">
        <v>11</v>
      </c>
    </row>
    <row r="126" spans="1:37" s="200" customFormat="1" ht="11.45" customHeight="1">
      <c r="A126" s="569"/>
      <c r="B126" s="569"/>
      <c r="C126" s="569"/>
      <c r="D126" s="569"/>
      <c r="E126" s="569"/>
      <c r="F126" s="65"/>
      <c r="G126" s="65"/>
      <c r="N126" s="60"/>
      <c r="P126" s="60"/>
      <c r="Q126" s="65"/>
      <c r="R126" s="65"/>
      <c r="S126" s="60"/>
      <c r="T126" s="60"/>
      <c r="U126" s="60"/>
      <c r="V126" s="60"/>
      <c r="W126" s="65"/>
      <c r="X126" s="60"/>
      <c r="Y126" s="60"/>
      <c r="Z126" s="306"/>
      <c r="AA126" s="60"/>
      <c r="AB126" s="60"/>
      <c r="AC126" s="60"/>
      <c r="AD126" s="60"/>
      <c r="AE126" s="60"/>
      <c r="AF126" s="7"/>
      <c r="AG126" s="139"/>
      <c r="AH126" s="139"/>
      <c r="AI126" s="139"/>
      <c r="AJ126" s="139"/>
      <c r="AK126" s="200">
        <v>11</v>
      </c>
    </row>
    <row r="127" spans="1:37" s="200" customFormat="1" ht="11.45" customHeight="1">
      <c r="A127" s="569"/>
      <c r="B127" s="569"/>
      <c r="C127" s="569"/>
      <c r="D127" s="569"/>
      <c r="E127" s="569"/>
      <c r="F127" s="65"/>
      <c r="G127" s="65"/>
      <c r="N127" s="60"/>
      <c r="P127" s="60"/>
      <c r="Q127" s="65"/>
      <c r="R127" s="65"/>
      <c r="S127" s="60"/>
      <c r="T127" s="60"/>
      <c r="U127" s="60"/>
      <c r="V127" s="60"/>
      <c r="W127" s="65"/>
      <c r="X127" s="60"/>
      <c r="Y127" s="60"/>
      <c r="Z127" s="306"/>
      <c r="AA127" s="60"/>
      <c r="AB127" s="60"/>
      <c r="AC127" s="60"/>
      <c r="AD127" s="60"/>
      <c r="AE127" s="60"/>
      <c r="AF127" s="7"/>
      <c r="AG127" s="139"/>
      <c r="AH127" s="139"/>
      <c r="AI127" s="139"/>
      <c r="AJ127" s="139"/>
      <c r="AK127" s="200">
        <v>11</v>
      </c>
    </row>
    <row r="128" spans="1:37" s="200" customFormat="1" ht="11.45" customHeight="1">
      <c r="A128" s="569"/>
      <c r="B128" s="569"/>
      <c r="C128" s="569"/>
      <c r="D128" s="569"/>
      <c r="E128" s="569"/>
      <c r="F128" s="65"/>
      <c r="G128" s="65"/>
      <c r="N128" s="60"/>
      <c r="P128" s="60"/>
      <c r="Q128" s="65"/>
      <c r="R128" s="65"/>
      <c r="S128" s="60"/>
      <c r="T128" s="60"/>
      <c r="U128" s="60"/>
      <c r="V128" s="60"/>
      <c r="W128" s="65"/>
      <c r="X128" s="60"/>
      <c r="Y128" s="60"/>
      <c r="Z128" s="306"/>
      <c r="AA128" s="60"/>
      <c r="AB128" s="60"/>
      <c r="AC128" s="60"/>
      <c r="AD128" s="60"/>
      <c r="AE128" s="60"/>
      <c r="AF128" s="7"/>
      <c r="AG128" s="139"/>
      <c r="AH128" s="139"/>
      <c r="AI128" s="139"/>
      <c r="AJ128" s="139"/>
      <c r="AK128" s="200">
        <v>11</v>
      </c>
    </row>
    <row r="129" spans="1:37" s="200" customFormat="1" ht="11.45" customHeight="1">
      <c r="A129" s="569"/>
      <c r="B129" s="569"/>
      <c r="C129" s="569"/>
      <c r="D129" s="569"/>
      <c r="E129" s="569"/>
      <c r="F129" s="65"/>
      <c r="G129" s="65"/>
      <c r="N129" s="60"/>
      <c r="P129" s="60"/>
      <c r="Q129" s="65"/>
      <c r="R129" s="65"/>
      <c r="S129" s="60"/>
      <c r="T129" s="60"/>
      <c r="U129" s="60"/>
      <c r="V129" s="60"/>
      <c r="W129" s="65"/>
      <c r="X129" s="60"/>
      <c r="Y129" s="60"/>
      <c r="Z129" s="306"/>
      <c r="AA129" s="60"/>
      <c r="AB129" s="60"/>
      <c r="AC129" s="60"/>
      <c r="AD129" s="60"/>
      <c r="AE129" s="60"/>
      <c r="AF129" s="7"/>
      <c r="AG129" s="139"/>
      <c r="AH129" s="139"/>
      <c r="AI129" s="139"/>
      <c r="AJ129" s="139"/>
      <c r="AK129" s="200">
        <v>11</v>
      </c>
    </row>
    <row r="130" spans="1:37" s="200" customFormat="1" ht="11.45" customHeight="1">
      <c r="A130" s="569"/>
      <c r="B130" s="569"/>
      <c r="C130" s="569"/>
      <c r="D130" s="569"/>
      <c r="E130" s="569"/>
      <c r="F130" s="65"/>
      <c r="G130" s="65"/>
      <c r="N130" s="60"/>
      <c r="P130" s="60"/>
      <c r="Q130" s="65"/>
      <c r="R130" s="65"/>
      <c r="S130" s="60"/>
      <c r="T130" s="60"/>
      <c r="U130" s="60"/>
      <c r="V130" s="60"/>
      <c r="W130" s="65"/>
      <c r="X130" s="60"/>
      <c r="Y130" s="60"/>
      <c r="Z130" s="306"/>
      <c r="AA130" s="60"/>
      <c r="AB130" s="60"/>
      <c r="AC130" s="60"/>
      <c r="AD130" s="60"/>
      <c r="AE130" s="60"/>
      <c r="AF130" s="7"/>
      <c r="AG130" s="139"/>
      <c r="AH130" s="139"/>
      <c r="AI130" s="139"/>
      <c r="AJ130" s="139"/>
      <c r="AK130" s="200">
        <v>11</v>
      </c>
    </row>
    <row r="131" spans="1:37" s="200" customFormat="1" ht="11.45" customHeight="1">
      <c r="A131" s="569"/>
      <c r="B131" s="569"/>
      <c r="C131" s="569"/>
      <c r="D131" s="569"/>
      <c r="E131" s="569"/>
      <c r="F131" s="65"/>
      <c r="G131" s="65"/>
      <c r="N131" s="60"/>
      <c r="P131" s="60"/>
      <c r="Q131" s="65"/>
      <c r="R131" s="65"/>
      <c r="S131" s="60"/>
      <c r="T131" s="60"/>
      <c r="U131" s="60"/>
      <c r="V131" s="60"/>
      <c r="W131" s="65"/>
      <c r="X131" s="60"/>
      <c r="Y131" s="60"/>
      <c r="Z131" s="306"/>
      <c r="AA131" s="60"/>
      <c r="AB131" s="60"/>
      <c r="AC131" s="60"/>
      <c r="AD131" s="60"/>
      <c r="AE131" s="60"/>
      <c r="AF131" s="7"/>
      <c r="AG131" s="139"/>
      <c r="AH131" s="139"/>
      <c r="AI131" s="139"/>
      <c r="AJ131" s="139"/>
      <c r="AK131" s="200">
        <v>11</v>
      </c>
    </row>
    <row r="132" spans="1:37" s="200" customFormat="1" ht="11.45" customHeight="1">
      <c r="A132" s="569"/>
      <c r="B132" s="569"/>
      <c r="C132" s="569"/>
      <c r="D132" s="569"/>
      <c r="E132" s="569"/>
      <c r="F132" s="65"/>
      <c r="G132" s="65"/>
      <c r="N132" s="60"/>
      <c r="P132" s="60"/>
      <c r="Q132" s="65"/>
      <c r="R132" s="65"/>
      <c r="S132" s="60"/>
      <c r="T132" s="60"/>
      <c r="U132" s="60"/>
      <c r="V132" s="60"/>
      <c r="W132" s="65"/>
      <c r="X132" s="60"/>
      <c r="Y132" s="60"/>
      <c r="Z132" s="306"/>
      <c r="AA132" s="60"/>
      <c r="AB132" s="60"/>
      <c r="AC132" s="60"/>
      <c r="AD132" s="60"/>
      <c r="AE132" s="60"/>
      <c r="AF132" s="7"/>
      <c r="AG132" s="139"/>
      <c r="AH132" s="139"/>
      <c r="AI132" s="139"/>
      <c r="AJ132" s="139"/>
      <c r="AK132" s="200">
        <v>11</v>
      </c>
    </row>
    <row r="133" spans="1:37" s="200" customFormat="1" ht="11.45" customHeight="1">
      <c r="A133" s="569"/>
      <c r="B133" s="569"/>
      <c r="C133" s="569"/>
      <c r="D133" s="569"/>
      <c r="E133" s="569"/>
      <c r="F133" s="65"/>
      <c r="G133" s="65"/>
      <c r="N133" s="60"/>
      <c r="P133" s="60"/>
      <c r="Q133" s="65"/>
      <c r="R133" s="65"/>
      <c r="S133" s="60"/>
      <c r="T133" s="60"/>
      <c r="U133" s="60"/>
      <c r="V133" s="60"/>
      <c r="W133" s="65"/>
      <c r="X133" s="60"/>
      <c r="Y133" s="60"/>
      <c r="Z133" s="306"/>
      <c r="AA133" s="60"/>
      <c r="AB133" s="60"/>
      <c r="AC133" s="60"/>
      <c r="AD133" s="60"/>
      <c r="AE133" s="60"/>
      <c r="AF133" s="7"/>
      <c r="AG133" s="139"/>
      <c r="AH133" s="139"/>
      <c r="AI133" s="139"/>
      <c r="AJ133" s="139"/>
      <c r="AK133" s="200">
        <v>11</v>
      </c>
    </row>
    <row r="134" spans="1:37" s="200" customFormat="1" ht="11.45" customHeight="1">
      <c r="A134" s="569"/>
      <c r="B134" s="569"/>
      <c r="C134" s="569"/>
      <c r="D134" s="569"/>
      <c r="E134" s="569"/>
      <c r="F134" s="65"/>
      <c r="G134" s="65"/>
      <c r="N134" s="60"/>
      <c r="P134" s="60"/>
      <c r="Q134" s="65"/>
      <c r="R134" s="65"/>
      <c r="S134" s="60"/>
      <c r="T134" s="60"/>
      <c r="U134" s="60"/>
      <c r="V134" s="60"/>
      <c r="W134" s="65"/>
      <c r="X134" s="60"/>
      <c r="Y134" s="60"/>
      <c r="Z134" s="306"/>
      <c r="AA134" s="60"/>
      <c r="AB134" s="60"/>
      <c r="AC134" s="60"/>
      <c r="AD134" s="60"/>
      <c r="AE134" s="60"/>
      <c r="AF134" s="7"/>
      <c r="AG134" s="139"/>
      <c r="AH134" s="139"/>
      <c r="AI134" s="139"/>
      <c r="AJ134" s="139"/>
      <c r="AK134" s="200">
        <v>11</v>
      </c>
    </row>
    <row r="135" spans="1:37" s="200" customFormat="1" ht="11.45" customHeight="1">
      <c r="A135" s="569"/>
      <c r="B135" s="569"/>
      <c r="C135" s="569"/>
      <c r="D135" s="569"/>
      <c r="E135" s="569"/>
      <c r="F135" s="65"/>
      <c r="G135" s="65"/>
      <c r="N135" s="60"/>
      <c r="P135" s="60"/>
      <c r="Q135" s="65"/>
      <c r="R135" s="65"/>
      <c r="S135" s="60"/>
      <c r="T135" s="60"/>
      <c r="U135" s="60"/>
      <c r="V135" s="60"/>
      <c r="W135" s="65"/>
      <c r="X135" s="60"/>
      <c r="Y135" s="60"/>
      <c r="Z135" s="306"/>
      <c r="AA135" s="60"/>
      <c r="AB135" s="60"/>
      <c r="AC135" s="60"/>
      <c r="AD135" s="60"/>
      <c r="AE135" s="60"/>
      <c r="AF135" s="7"/>
      <c r="AG135" s="139"/>
      <c r="AH135" s="139"/>
      <c r="AI135" s="139"/>
      <c r="AJ135" s="139"/>
      <c r="AK135" s="200">
        <v>11</v>
      </c>
    </row>
    <row r="136" spans="1:37" s="200" customFormat="1" ht="11.45" customHeight="1">
      <c r="A136" s="569"/>
      <c r="B136" s="569"/>
      <c r="C136" s="569"/>
      <c r="D136" s="569"/>
      <c r="E136" s="569"/>
      <c r="F136" s="65"/>
      <c r="G136" s="65"/>
      <c r="N136" s="60"/>
      <c r="P136" s="60"/>
      <c r="Q136" s="65"/>
      <c r="R136" s="65"/>
      <c r="S136" s="60"/>
      <c r="T136" s="60"/>
      <c r="U136" s="60"/>
      <c r="V136" s="60"/>
      <c r="W136" s="65"/>
      <c r="X136" s="60"/>
      <c r="Y136" s="60"/>
      <c r="Z136" s="306"/>
      <c r="AA136" s="60"/>
      <c r="AB136" s="60"/>
      <c r="AC136" s="60"/>
      <c r="AD136" s="60"/>
      <c r="AE136" s="60"/>
      <c r="AF136" s="7"/>
      <c r="AG136" s="139"/>
      <c r="AH136" s="139"/>
      <c r="AI136" s="139"/>
      <c r="AJ136" s="139"/>
      <c r="AK136" s="200">
        <v>11</v>
      </c>
    </row>
    <row r="137" spans="1:37" s="200" customFormat="1" ht="11.45" customHeight="1">
      <c r="A137" s="569"/>
      <c r="B137" s="569"/>
      <c r="C137" s="569"/>
      <c r="D137" s="569"/>
      <c r="E137" s="569"/>
      <c r="F137" s="65"/>
      <c r="G137" s="65"/>
      <c r="N137" s="60"/>
      <c r="P137" s="60"/>
      <c r="Q137" s="65"/>
      <c r="R137" s="65"/>
      <c r="S137" s="60"/>
      <c r="T137" s="60"/>
      <c r="U137" s="60"/>
      <c r="V137" s="60"/>
      <c r="W137" s="65"/>
      <c r="X137" s="60"/>
      <c r="Y137" s="60"/>
      <c r="Z137" s="306"/>
      <c r="AA137" s="60"/>
      <c r="AB137" s="60"/>
      <c r="AC137" s="60"/>
      <c r="AD137" s="60"/>
      <c r="AE137" s="60"/>
      <c r="AF137" s="7"/>
      <c r="AG137" s="139"/>
      <c r="AH137" s="139"/>
      <c r="AI137" s="139"/>
      <c r="AJ137" s="139"/>
      <c r="AK137" s="200">
        <v>11</v>
      </c>
    </row>
    <row r="138" spans="1:37" s="200" customFormat="1" ht="11.45" customHeight="1">
      <c r="A138" s="569"/>
      <c r="B138" s="569"/>
      <c r="C138" s="569"/>
      <c r="D138" s="569"/>
      <c r="E138" s="569"/>
      <c r="F138" s="65"/>
      <c r="G138" s="65"/>
      <c r="N138" s="60"/>
      <c r="P138" s="60"/>
      <c r="Q138" s="65"/>
      <c r="R138" s="65"/>
      <c r="S138" s="60"/>
      <c r="T138" s="60"/>
      <c r="U138" s="60"/>
      <c r="V138" s="60"/>
      <c r="W138" s="65"/>
      <c r="X138" s="60"/>
      <c r="Y138" s="60"/>
      <c r="Z138" s="306"/>
      <c r="AA138" s="60"/>
      <c r="AB138" s="60"/>
      <c r="AC138" s="60"/>
      <c r="AD138" s="60"/>
      <c r="AE138" s="60"/>
      <c r="AF138" s="7"/>
      <c r="AG138" s="139"/>
      <c r="AH138" s="139"/>
      <c r="AI138" s="139"/>
      <c r="AJ138" s="139"/>
      <c r="AK138" s="200">
        <v>11</v>
      </c>
    </row>
    <row r="139" spans="1:37" s="200" customFormat="1" ht="11.45" customHeight="1">
      <c r="A139" s="569"/>
      <c r="B139" s="569"/>
      <c r="C139" s="569"/>
      <c r="D139" s="569"/>
      <c r="E139" s="569"/>
      <c r="F139" s="65"/>
      <c r="G139" s="65"/>
      <c r="N139" s="60"/>
      <c r="P139" s="60"/>
      <c r="Q139" s="65"/>
      <c r="R139" s="65"/>
      <c r="S139" s="60"/>
      <c r="T139" s="60"/>
      <c r="U139" s="60"/>
      <c r="V139" s="60"/>
      <c r="W139" s="65"/>
      <c r="X139" s="60"/>
      <c r="Y139" s="60"/>
      <c r="Z139" s="306"/>
      <c r="AA139" s="60"/>
      <c r="AB139" s="60"/>
      <c r="AC139" s="60"/>
      <c r="AD139" s="60"/>
      <c r="AE139" s="60"/>
      <c r="AF139" s="7"/>
      <c r="AG139" s="139"/>
      <c r="AH139" s="139"/>
      <c r="AI139" s="139"/>
      <c r="AJ139" s="139"/>
      <c r="AK139" s="200">
        <v>11</v>
      </c>
    </row>
    <row r="140" spans="1:37" s="200" customFormat="1" ht="11.45" customHeight="1">
      <c r="A140" s="569"/>
      <c r="B140" s="569"/>
      <c r="C140" s="569"/>
      <c r="D140" s="569"/>
      <c r="E140" s="569"/>
      <c r="F140" s="65"/>
      <c r="G140" s="65"/>
      <c r="N140" s="60"/>
      <c r="P140" s="60"/>
      <c r="Q140" s="65"/>
      <c r="R140" s="65"/>
      <c r="S140" s="60"/>
      <c r="T140" s="60"/>
      <c r="U140" s="60"/>
      <c r="V140" s="60"/>
      <c r="W140" s="65"/>
      <c r="X140" s="60"/>
      <c r="Y140" s="60"/>
      <c r="Z140" s="306"/>
      <c r="AA140" s="60"/>
      <c r="AB140" s="60"/>
      <c r="AC140" s="60"/>
      <c r="AD140" s="60"/>
      <c r="AE140" s="60"/>
      <c r="AF140" s="7"/>
      <c r="AG140" s="139"/>
      <c r="AH140" s="139"/>
      <c r="AI140" s="139"/>
      <c r="AJ140" s="139"/>
      <c r="AK140" s="200">
        <v>11</v>
      </c>
    </row>
    <row r="141" spans="1:37" s="200" customFormat="1" ht="11.45" customHeight="1">
      <c r="A141" s="569"/>
      <c r="B141" s="569"/>
      <c r="C141" s="569"/>
      <c r="D141" s="569"/>
      <c r="E141" s="569"/>
      <c r="F141" s="65"/>
      <c r="G141" s="65"/>
      <c r="N141" s="60"/>
      <c r="P141" s="60"/>
      <c r="Q141" s="65"/>
      <c r="R141" s="65"/>
      <c r="S141" s="60"/>
      <c r="T141" s="60"/>
      <c r="U141" s="60"/>
      <c r="V141" s="60"/>
      <c r="W141" s="65"/>
      <c r="X141" s="60"/>
      <c r="Y141" s="60"/>
      <c r="Z141" s="306"/>
      <c r="AA141" s="60"/>
      <c r="AB141" s="60"/>
      <c r="AC141" s="60"/>
      <c r="AD141" s="60"/>
      <c r="AE141" s="60"/>
      <c r="AF141" s="7"/>
      <c r="AG141" s="139"/>
      <c r="AH141" s="139"/>
      <c r="AI141" s="139"/>
      <c r="AJ141" s="139"/>
      <c r="AK141" s="200">
        <v>11</v>
      </c>
    </row>
    <row r="142" spans="1:37" s="200" customFormat="1" ht="11.45" customHeight="1">
      <c r="A142" s="569"/>
      <c r="B142" s="569"/>
      <c r="C142" s="569"/>
      <c r="D142" s="569"/>
      <c r="E142" s="569"/>
      <c r="F142" s="65"/>
      <c r="G142" s="65"/>
      <c r="N142" s="60"/>
      <c r="P142" s="60"/>
      <c r="Q142" s="65"/>
      <c r="R142" s="65"/>
      <c r="S142" s="60"/>
      <c r="T142" s="60"/>
      <c r="U142" s="60"/>
      <c r="V142" s="60"/>
      <c r="W142" s="65"/>
      <c r="X142" s="60"/>
      <c r="Y142" s="60"/>
      <c r="Z142" s="306"/>
      <c r="AA142" s="60"/>
      <c r="AB142" s="60"/>
      <c r="AC142" s="60"/>
      <c r="AD142" s="60"/>
      <c r="AE142" s="60"/>
      <c r="AF142" s="7"/>
      <c r="AG142" s="139"/>
      <c r="AH142" s="139"/>
      <c r="AI142" s="139"/>
      <c r="AJ142" s="139"/>
      <c r="AK142" s="200">
        <v>11</v>
      </c>
    </row>
    <row r="143" spans="1:37" s="200" customFormat="1" ht="11.45" customHeight="1">
      <c r="A143" s="569"/>
      <c r="B143" s="569"/>
      <c r="C143" s="569"/>
      <c r="D143" s="569"/>
      <c r="E143" s="569"/>
      <c r="F143" s="65"/>
      <c r="G143" s="65"/>
      <c r="N143" s="60"/>
      <c r="P143" s="60"/>
      <c r="Q143" s="65"/>
      <c r="R143" s="65"/>
      <c r="S143" s="60"/>
      <c r="T143" s="60"/>
      <c r="U143" s="60"/>
      <c r="V143" s="60"/>
      <c r="W143" s="65"/>
      <c r="X143" s="60"/>
      <c r="Y143" s="60"/>
      <c r="Z143" s="306"/>
      <c r="AA143" s="60"/>
      <c r="AB143" s="60"/>
      <c r="AC143" s="60"/>
      <c r="AD143" s="60"/>
      <c r="AE143" s="60"/>
      <c r="AF143" s="7"/>
      <c r="AG143" s="139"/>
      <c r="AH143" s="139"/>
      <c r="AI143" s="139"/>
      <c r="AJ143" s="139"/>
      <c r="AK143" s="200">
        <v>11</v>
      </c>
    </row>
    <row r="144" spans="1:37" s="200" customFormat="1" ht="11.45" customHeight="1">
      <c r="A144" s="569"/>
      <c r="B144" s="569"/>
      <c r="C144" s="569"/>
      <c r="D144" s="569"/>
      <c r="E144" s="569"/>
      <c r="F144" s="65"/>
      <c r="G144" s="65"/>
      <c r="N144" s="60"/>
      <c r="P144" s="60"/>
      <c r="Q144" s="65"/>
      <c r="R144" s="65"/>
      <c r="S144" s="60"/>
      <c r="T144" s="60"/>
      <c r="U144" s="60"/>
      <c r="V144" s="60"/>
      <c r="W144" s="65"/>
      <c r="X144" s="60"/>
      <c r="Y144" s="60"/>
      <c r="Z144" s="306"/>
      <c r="AA144" s="60"/>
      <c r="AB144" s="60"/>
      <c r="AC144" s="60"/>
      <c r="AD144" s="60"/>
      <c r="AE144" s="60"/>
      <c r="AF144" s="7"/>
      <c r="AG144" s="139"/>
      <c r="AH144" s="139"/>
      <c r="AI144" s="139"/>
      <c r="AJ144" s="139"/>
      <c r="AK144" s="200">
        <v>11</v>
      </c>
    </row>
    <row r="145" spans="1:37" s="200" customFormat="1" ht="11.45" customHeight="1">
      <c r="A145" s="569"/>
      <c r="B145" s="569"/>
      <c r="C145" s="569"/>
      <c r="D145" s="569"/>
      <c r="E145" s="569"/>
      <c r="F145" s="65"/>
      <c r="G145" s="65"/>
      <c r="N145" s="60"/>
      <c r="P145" s="60"/>
      <c r="Q145" s="65"/>
      <c r="R145" s="65"/>
      <c r="S145" s="60"/>
      <c r="T145" s="60"/>
      <c r="U145" s="60"/>
      <c r="V145" s="60"/>
      <c r="W145" s="65"/>
      <c r="X145" s="60"/>
      <c r="Y145" s="60"/>
      <c r="Z145" s="306"/>
      <c r="AA145" s="60"/>
      <c r="AB145" s="60"/>
      <c r="AC145" s="60"/>
      <c r="AD145" s="60"/>
      <c r="AE145" s="60"/>
      <c r="AF145" s="7"/>
      <c r="AG145" s="139"/>
      <c r="AH145" s="139"/>
      <c r="AI145" s="139"/>
      <c r="AJ145" s="139"/>
      <c r="AK145" s="200">
        <v>11</v>
      </c>
    </row>
    <row r="146" spans="1:37" s="200" customFormat="1" ht="11.45" customHeight="1">
      <c r="A146" s="569"/>
      <c r="B146" s="569"/>
      <c r="C146" s="569"/>
      <c r="D146" s="569"/>
      <c r="E146" s="569"/>
      <c r="F146" s="65"/>
      <c r="G146" s="65"/>
      <c r="N146" s="60"/>
      <c r="P146" s="60"/>
      <c r="Q146" s="65"/>
      <c r="R146" s="65"/>
      <c r="S146" s="60"/>
      <c r="T146" s="60"/>
      <c r="U146" s="60"/>
      <c r="V146" s="60"/>
      <c r="W146" s="65"/>
      <c r="X146" s="60"/>
      <c r="Y146" s="60"/>
      <c r="Z146" s="306"/>
      <c r="AA146" s="60"/>
      <c r="AB146" s="60"/>
      <c r="AC146" s="60"/>
      <c r="AD146" s="60"/>
      <c r="AE146" s="60"/>
      <c r="AF146" s="7"/>
      <c r="AG146" s="139"/>
      <c r="AH146" s="139"/>
      <c r="AI146" s="139"/>
      <c r="AJ146" s="139"/>
      <c r="AK146" s="200">
        <v>11</v>
      </c>
    </row>
    <row r="147" spans="1:37" s="200" customFormat="1" ht="11.45" customHeight="1">
      <c r="A147" s="569"/>
      <c r="B147" s="569"/>
      <c r="C147" s="569"/>
      <c r="D147" s="569"/>
      <c r="E147" s="569"/>
      <c r="F147" s="65"/>
      <c r="G147" s="65"/>
      <c r="N147" s="60"/>
      <c r="P147" s="60"/>
      <c r="Q147" s="65"/>
      <c r="R147" s="65"/>
      <c r="S147" s="60"/>
      <c r="T147" s="60"/>
      <c r="U147" s="60"/>
      <c r="V147" s="60"/>
      <c r="W147" s="65"/>
      <c r="X147" s="60"/>
      <c r="Y147" s="60"/>
      <c r="Z147" s="306"/>
      <c r="AA147" s="60"/>
      <c r="AB147" s="60"/>
      <c r="AC147" s="60"/>
      <c r="AD147" s="60"/>
      <c r="AE147" s="60"/>
      <c r="AF147" s="7"/>
      <c r="AG147" s="139"/>
      <c r="AH147" s="139"/>
      <c r="AI147" s="139"/>
      <c r="AJ147" s="139"/>
      <c r="AK147" s="200">
        <v>11</v>
      </c>
    </row>
    <row r="148" spans="1:37" s="200" customFormat="1" ht="11.45" customHeight="1">
      <c r="A148" s="569"/>
      <c r="B148" s="569"/>
      <c r="C148" s="569"/>
      <c r="D148" s="569"/>
      <c r="E148" s="569"/>
      <c r="F148" s="65"/>
      <c r="G148" s="65"/>
      <c r="N148" s="60"/>
      <c r="P148" s="60"/>
      <c r="Q148" s="65"/>
      <c r="R148" s="65"/>
      <c r="S148" s="60"/>
      <c r="T148" s="60"/>
      <c r="U148" s="60"/>
      <c r="V148" s="60"/>
      <c r="W148" s="65"/>
      <c r="X148" s="60"/>
      <c r="Y148" s="60"/>
      <c r="Z148" s="306"/>
      <c r="AA148" s="60"/>
      <c r="AB148" s="60"/>
      <c r="AC148" s="60"/>
      <c r="AD148" s="60"/>
      <c r="AE148" s="60"/>
      <c r="AF148" s="7"/>
      <c r="AG148" s="139"/>
      <c r="AH148" s="139"/>
      <c r="AI148" s="139"/>
      <c r="AJ148" s="139"/>
      <c r="AK148" s="200">
        <v>11</v>
      </c>
    </row>
    <row r="149" spans="1:37" s="200" customFormat="1" ht="11.45" customHeight="1">
      <c r="A149" s="569"/>
      <c r="B149" s="569"/>
      <c r="C149" s="569"/>
      <c r="D149" s="569"/>
      <c r="E149" s="569"/>
      <c r="F149" s="65"/>
      <c r="G149" s="65"/>
      <c r="N149" s="60"/>
      <c r="P149" s="60"/>
      <c r="Q149" s="65"/>
      <c r="R149" s="65"/>
      <c r="S149" s="60"/>
      <c r="T149" s="60"/>
      <c r="U149" s="60"/>
      <c r="V149" s="60"/>
      <c r="W149" s="65"/>
      <c r="X149" s="60"/>
      <c r="Y149" s="60"/>
      <c r="Z149" s="306"/>
      <c r="AA149" s="60"/>
      <c r="AB149" s="60"/>
      <c r="AC149" s="60"/>
      <c r="AD149" s="60"/>
      <c r="AE149" s="60"/>
      <c r="AF149" s="7"/>
      <c r="AG149" s="139"/>
      <c r="AH149" s="139"/>
      <c r="AI149" s="139"/>
      <c r="AJ149" s="139"/>
      <c r="AK149" s="200">
        <v>11</v>
      </c>
    </row>
    <row r="150" spans="1:37" s="200" customFormat="1" ht="11.45" customHeight="1">
      <c r="A150" s="569"/>
      <c r="B150" s="569"/>
      <c r="C150" s="569"/>
      <c r="D150" s="569"/>
      <c r="E150" s="569"/>
      <c r="F150" s="65"/>
      <c r="G150" s="65"/>
      <c r="N150" s="60"/>
      <c r="P150" s="60"/>
      <c r="Q150" s="65"/>
      <c r="R150" s="65"/>
      <c r="S150" s="60"/>
      <c r="T150" s="60"/>
      <c r="U150" s="60"/>
      <c r="V150" s="60"/>
      <c r="W150" s="65"/>
      <c r="X150" s="60"/>
      <c r="Y150" s="60"/>
      <c r="Z150" s="306"/>
      <c r="AA150" s="60"/>
      <c r="AB150" s="60"/>
      <c r="AC150" s="60"/>
      <c r="AD150" s="60"/>
      <c r="AE150" s="60"/>
      <c r="AF150" s="7"/>
      <c r="AG150" s="139"/>
      <c r="AH150" s="139"/>
      <c r="AI150" s="139"/>
      <c r="AJ150" s="139"/>
      <c r="AK150" s="200">
        <v>11</v>
      </c>
    </row>
    <row r="151" spans="1:37" s="200" customFormat="1" ht="11.45" customHeight="1">
      <c r="A151" s="569"/>
      <c r="B151" s="569"/>
      <c r="C151" s="569"/>
      <c r="D151" s="569"/>
      <c r="E151" s="569"/>
      <c r="F151" s="65"/>
      <c r="G151" s="65"/>
      <c r="N151" s="60"/>
      <c r="P151" s="60"/>
      <c r="Q151" s="65"/>
      <c r="R151" s="65"/>
      <c r="S151" s="60"/>
      <c r="T151" s="60"/>
      <c r="U151" s="60"/>
      <c r="V151" s="60"/>
      <c r="W151" s="65"/>
      <c r="X151" s="60"/>
      <c r="Y151" s="60"/>
      <c r="Z151" s="306"/>
      <c r="AA151" s="60"/>
      <c r="AB151" s="60"/>
      <c r="AC151" s="60"/>
      <c r="AD151" s="60"/>
      <c r="AE151" s="60"/>
      <c r="AF151" s="7"/>
      <c r="AG151" s="139"/>
      <c r="AH151" s="139"/>
      <c r="AI151" s="139"/>
      <c r="AJ151" s="139"/>
      <c r="AK151" s="200">
        <v>11</v>
      </c>
    </row>
    <row r="152" spans="1:37" s="200" customFormat="1" ht="11.45" customHeight="1">
      <c r="A152" s="569"/>
      <c r="B152" s="569"/>
      <c r="C152" s="569"/>
      <c r="D152" s="569"/>
      <c r="E152" s="569"/>
      <c r="F152" s="65"/>
      <c r="G152" s="65"/>
      <c r="N152" s="60"/>
      <c r="P152" s="60"/>
      <c r="Q152" s="65"/>
      <c r="R152" s="65"/>
      <c r="S152" s="60"/>
      <c r="T152" s="60"/>
      <c r="U152" s="60"/>
      <c r="V152" s="60"/>
      <c r="W152" s="65"/>
      <c r="X152" s="60"/>
      <c r="Y152" s="60"/>
      <c r="Z152" s="306"/>
      <c r="AA152" s="60"/>
      <c r="AB152" s="60"/>
      <c r="AC152" s="60"/>
      <c r="AD152" s="60"/>
      <c r="AE152" s="60"/>
      <c r="AF152" s="7"/>
      <c r="AG152" s="139"/>
      <c r="AH152" s="139"/>
      <c r="AI152" s="139"/>
      <c r="AJ152" s="139"/>
      <c r="AK152" s="200">
        <v>11</v>
      </c>
    </row>
    <row r="153" spans="1:37" s="200" customFormat="1" ht="11.45" customHeight="1">
      <c r="A153" s="569"/>
      <c r="B153" s="569"/>
      <c r="C153" s="569"/>
      <c r="D153" s="569"/>
      <c r="E153" s="569"/>
      <c r="F153" s="65"/>
      <c r="G153" s="65"/>
      <c r="N153" s="60"/>
      <c r="P153" s="60"/>
      <c r="Q153" s="65"/>
      <c r="R153" s="65"/>
      <c r="S153" s="60"/>
      <c r="T153" s="60"/>
      <c r="U153" s="60"/>
      <c r="V153" s="60"/>
      <c r="W153" s="65"/>
      <c r="X153" s="60"/>
      <c r="Y153" s="60"/>
      <c r="Z153" s="306"/>
      <c r="AA153" s="60"/>
      <c r="AB153" s="60"/>
      <c r="AC153" s="60"/>
      <c r="AD153" s="60"/>
      <c r="AE153" s="60"/>
      <c r="AF153" s="7"/>
      <c r="AG153" s="139"/>
      <c r="AH153" s="139"/>
      <c r="AI153" s="139"/>
      <c r="AJ153" s="139"/>
      <c r="AK153" s="200">
        <v>11</v>
      </c>
    </row>
    <row r="154" spans="1:37" s="200" customFormat="1" ht="11.45" customHeight="1">
      <c r="A154" s="569"/>
      <c r="B154" s="569"/>
      <c r="C154" s="569"/>
      <c r="D154" s="569"/>
      <c r="E154" s="569"/>
      <c r="F154" s="65"/>
      <c r="G154" s="65"/>
      <c r="N154" s="60"/>
      <c r="P154" s="60"/>
      <c r="Q154" s="65"/>
      <c r="R154" s="65"/>
      <c r="S154" s="60"/>
      <c r="T154" s="60"/>
      <c r="U154" s="60"/>
      <c r="V154" s="60"/>
      <c r="W154" s="65"/>
      <c r="X154" s="60"/>
      <c r="Y154" s="60"/>
      <c r="Z154" s="306"/>
      <c r="AA154" s="60"/>
      <c r="AB154" s="60"/>
      <c r="AC154" s="60"/>
      <c r="AD154" s="60"/>
      <c r="AE154" s="60"/>
      <c r="AF154" s="7"/>
      <c r="AG154" s="139"/>
      <c r="AH154" s="139"/>
      <c r="AI154" s="139"/>
      <c r="AJ154" s="139"/>
      <c r="AK154" s="200">
        <v>11</v>
      </c>
    </row>
    <row r="155" spans="1:37" s="200" customFormat="1" ht="11.45" customHeight="1">
      <c r="A155" s="569"/>
      <c r="B155" s="569"/>
      <c r="C155" s="569"/>
      <c r="D155" s="569"/>
      <c r="E155" s="569"/>
      <c r="F155" s="65"/>
      <c r="G155" s="65"/>
      <c r="N155" s="60"/>
      <c r="P155" s="60"/>
      <c r="Q155" s="65"/>
      <c r="R155" s="65"/>
      <c r="S155" s="60"/>
      <c r="T155" s="60"/>
      <c r="U155" s="60"/>
      <c r="V155" s="60"/>
      <c r="W155" s="65"/>
      <c r="X155" s="60"/>
      <c r="Y155" s="60"/>
      <c r="Z155" s="306"/>
      <c r="AA155" s="60"/>
      <c r="AB155" s="60"/>
      <c r="AC155" s="60"/>
      <c r="AD155" s="60"/>
      <c r="AE155" s="60"/>
      <c r="AF155" s="7"/>
      <c r="AG155" s="139"/>
      <c r="AH155" s="139"/>
      <c r="AI155" s="139"/>
      <c r="AJ155" s="139"/>
      <c r="AK155" s="200">
        <v>11</v>
      </c>
    </row>
    <row r="156" spans="1:37" s="200" customFormat="1" ht="11.45" customHeight="1">
      <c r="A156" s="569"/>
      <c r="B156" s="569"/>
      <c r="C156" s="569"/>
      <c r="D156" s="569"/>
      <c r="E156" s="569"/>
      <c r="F156" s="65"/>
      <c r="G156" s="65"/>
      <c r="N156" s="60"/>
      <c r="P156" s="60"/>
      <c r="Q156" s="65"/>
      <c r="R156" s="65"/>
      <c r="S156" s="60"/>
      <c r="T156" s="60"/>
      <c r="U156" s="60"/>
      <c r="V156" s="60"/>
      <c r="W156" s="65"/>
      <c r="X156" s="60"/>
      <c r="Y156" s="60"/>
      <c r="Z156" s="306"/>
      <c r="AA156" s="60"/>
      <c r="AB156" s="60"/>
      <c r="AC156" s="60"/>
      <c r="AD156" s="60"/>
      <c r="AE156" s="60"/>
      <c r="AF156" s="7"/>
      <c r="AG156" s="139"/>
      <c r="AH156" s="139"/>
      <c r="AI156" s="139"/>
      <c r="AJ156" s="139"/>
      <c r="AK156" s="200">
        <v>11</v>
      </c>
    </row>
    <row r="157" spans="1:37" s="200" customFormat="1" ht="11.45" customHeight="1">
      <c r="A157" s="569"/>
      <c r="B157" s="569"/>
      <c r="C157" s="569"/>
      <c r="D157" s="569"/>
      <c r="E157" s="569"/>
      <c r="F157" s="65"/>
      <c r="G157" s="65"/>
      <c r="N157" s="60"/>
      <c r="P157" s="60"/>
      <c r="Q157" s="65"/>
      <c r="R157" s="65"/>
      <c r="S157" s="60"/>
      <c r="T157" s="60"/>
      <c r="U157" s="60"/>
      <c r="V157" s="60"/>
      <c r="W157" s="65"/>
      <c r="X157" s="60"/>
      <c r="Y157" s="60"/>
      <c r="Z157" s="306"/>
      <c r="AA157" s="60"/>
      <c r="AB157" s="60"/>
      <c r="AC157" s="60"/>
      <c r="AD157" s="60"/>
      <c r="AE157" s="60"/>
      <c r="AF157" s="7"/>
      <c r="AG157" s="139"/>
      <c r="AH157" s="139"/>
      <c r="AI157" s="139"/>
      <c r="AJ157" s="139"/>
      <c r="AK157" s="200">
        <v>11</v>
      </c>
    </row>
    <row r="158" spans="1:37" s="200" customFormat="1" ht="11.45" customHeight="1">
      <c r="A158" s="569"/>
      <c r="B158" s="569"/>
      <c r="C158" s="569"/>
      <c r="D158" s="569"/>
      <c r="E158" s="569"/>
      <c r="F158" s="65"/>
      <c r="G158" s="65"/>
      <c r="N158" s="60"/>
      <c r="P158" s="60"/>
      <c r="Q158" s="65"/>
      <c r="R158" s="65"/>
      <c r="S158" s="60"/>
      <c r="T158" s="60"/>
      <c r="U158" s="60"/>
      <c r="V158" s="60"/>
      <c r="W158" s="65"/>
      <c r="X158" s="60"/>
      <c r="Y158" s="60"/>
      <c r="Z158" s="306"/>
      <c r="AA158" s="60"/>
      <c r="AB158" s="60"/>
      <c r="AC158" s="60"/>
      <c r="AD158" s="60"/>
      <c r="AE158" s="60"/>
      <c r="AF158" s="7"/>
      <c r="AG158" s="139"/>
      <c r="AH158" s="139"/>
      <c r="AI158" s="139"/>
      <c r="AJ158" s="139"/>
      <c r="AK158" s="200">
        <v>11</v>
      </c>
    </row>
    <row r="159" spans="1:37" s="200" customFormat="1" ht="11.45" customHeight="1">
      <c r="A159" s="569"/>
      <c r="B159" s="569"/>
      <c r="C159" s="569"/>
      <c r="D159" s="569"/>
      <c r="E159" s="569"/>
      <c r="F159" s="65"/>
      <c r="G159" s="65"/>
      <c r="N159" s="60"/>
      <c r="P159" s="60"/>
      <c r="Q159" s="65"/>
      <c r="R159" s="65"/>
      <c r="S159" s="60"/>
      <c r="T159" s="60"/>
      <c r="U159" s="60"/>
      <c r="V159" s="60"/>
      <c r="W159" s="65"/>
      <c r="X159" s="60"/>
      <c r="Y159" s="60"/>
      <c r="Z159" s="306"/>
      <c r="AA159" s="60"/>
      <c r="AB159" s="60"/>
      <c r="AC159" s="60"/>
      <c r="AD159" s="60"/>
      <c r="AE159" s="60"/>
      <c r="AF159" s="7"/>
      <c r="AG159" s="139"/>
      <c r="AH159" s="139"/>
      <c r="AI159" s="139"/>
      <c r="AJ159" s="139"/>
      <c r="AK159" s="200">
        <v>11</v>
      </c>
    </row>
    <row r="160" spans="1:37" s="200" customFormat="1" ht="11.45" customHeight="1">
      <c r="A160" s="569"/>
      <c r="B160" s="569"/>
      <c r="C160" s="569"/>
      <c r="D160" s="569"/>
      <c r="E160" s="569"/>
      <c r="F160" s="65"/>
      <c r="G160" s="65"/>
      <c r="N160" s="60"/>
      <c r="P160" s="60"/>
      <c r="Q160" s="65"/>
      <c r="R160" s="65"/>
      <c r="S160" s="60"/>
      <c r="T160" s="60"/>
      <c r="U160" s="60"/>
      <c r="V160" s="60"/>
      <c r="W160" s="65"/>
      <c r="X160" s="60"/>
      <c r="Y160" s="60"/>
      <c r="Z160" s="306"/>
      <c r="AA160" s="60"/>
      <c r="AB160" s="60"/>
      <c r="AC160" s="60"/>
      <c r="AD160" s="60"/>
      <c r="AE160" s="60"/>
      <c r="AF160" s="7"/>
      <c r="AG160" s="139"/>
      <c r="AH160" s="139"/>
      <c r="AI160" s="139"/>
      <c r="AJ160" s="139"/>
      <c r="AK160" s="200">
        <v>11</v>
      </c>
    </row>
    <row r="161" spans="1:37" s="200" customFormat="1" ht="11.45" customHeight="1">
      <c r="A161" s="569"/>
      <c r="B161" s="569"/>
      <c r="C161" s="569"/>
      <c r="D161" s="569"/>
      <c r="E161" s="569"/>
      <c r="F161" s="65"/>
      <c r="G161" s="65"/>
      <c r="N161" s="60"/>
      <c r="P161" s="60"/>
      <c r="Q161" s="65"/>
      <c r="R161" s="65"/>
      <c r="S161" s="60"/>
      <c r="T161" s="60"/>
      <c r="U161" s="60"/>
      <c r="V161" s="60"/>
      <c r="W161" s="65"/>
      <c r="X161" s="60"/>
      <c r="Y161" s="60"/>
      <c r="Z161" s="306"/>
      <c r="AA161" s="60"/>
      <c r="AB161" s="60"/>
      <c r="AC161" s="60"/>
      <c r="AD161" s="60"/>
      <c r="AE161" s="60"/>
      <c r="AF161" s="7"/>
      <c r="AG161" s="139"/>
      <c r="AH161" s="139"/>
      <c r="AI161" s="139"/>
      <c r="AJ161" s="139"/>
      <c r="AK161" s="200">
        <v>11</v>
      </c>
    </row>
    <row r="162" spans="1:37" s="200" customFormat="1" ht="11.45" customHeight="1">
      <c r="A162" s="569"/>
      <c r="B162" s="569"/>
      <c r="C162" s="569"/>
      <c r="D162" s="569"/>
      <c r="E162" s="569"/>
      <c r="F162" s="65"/>
      <c r="G162" s="65"/>
      <c r="N162" s="60"/>
      <c r="P162" s="60"/>
      <c r="Q162" s="65"/>
      <c r="R162" s="65"/>
      <c r="S162" s="60"/>
      <c r="T162" s="60"/>
      <c r="U162" s="60"/>
      <c r="V162" s="60"/>
      <c r="W162" s="65"/>
      <c r="X162" s="60"/>
      <c r="Y162" s="60"/>
      <c r="Z162" s="306"/>
      <c r="AA162" s="60"/>
      <c r="AB162" s="60"/>
      <c r="AC162" s="60"/>
      <c r="AD162" s="60"/>
      <c r="AE162" s="60"/>
      <c r="AF162" s="7"/>
      <c r="AG162" s="139"/>
      <c r="AH162" s="139"/>
      <c r="AI162" s="139"/>
      <c r="AJ162" s="139"/>
      <c r="AK162" s="200">
        <v>11</v>
      </c>
    </row>
    <row r="163" spans="1:37" s="200" customFormat="1" ht="11.45" customHeight="1">
      <c r="A163" s="569"/>
      <c r="B163" s="569"/>
      <c r="C163" s="569"/>
      <c r="D163" s="569"/>
      <c r="E163" s="569"/>
      <c r="F163" s="65"/>
      <c r="G163" s="65"/>
      <c r="N163" s="60"/>
      <c r="P163" s="60"/>
      <c r="Q163" s="65"/>
      <c r="R163" s="65"/>
      <c r="S163" s="60"/>
      <c r="T163" s="60"/>
      <c r="U163" s="60"/>
      <c r="V163" s="60"/>
      <c r="W163" s="65"/>
      <c r="X163" s="60"/>
      <c r="Y163" s="60"/>
      <c r="Z163" s="306"/>
      <c r="AA163" s="60"/>
      <c r="AB163" s="60"/>
      <c r="AC163" s="60"/>
      <c r="AD163" s="60"/>
      <c r="AE163" s="60"/>
      <c r="AF163" s="7"/>
      <c r="AG163" s="139"/>
      <c r="AH163" s="139"/>
      <c r="AI163" s="139"/>
      <c r="AJ163" s="139"/>
      <c r="AK163" s="200">
        <v>11</v>
      </c>
    </row>
    <row r="164" spans="1:37" s="200" customFormat="1" ht="11.45" customHeight="1">
      <c r="A164" s="569"/>
      <c r="B164" s="569"/>
      <c r="C164" s="569"/>
      <c r="D164" s="569"/>
      <c r="E164" s="569"/>
      <c r="F164" s="65"/>
      <c r="G164" s="65"/>
      <c r="N164" s="60"/>
      <c r="P164" s="60"/>
      <c r="Q164" s="65"/>
      <c r="R164" s="65"/>
      <c r="S164" s="60"/>
      <c r="T164" s="60"/>
      <c r="U164" s="60"/>
      <c r="V164" s="60"/>
      <c r="W164" s="65"/>
      <c r="X164" s="60"/>
      <c r="Y164" s="60"/>
      <c r="Z164" s="306"/>
      <c r="AA164" s="60"/>
      <c r="AB164" s="60"/>
      <c r="AC164" s="60"/>
      <c r="AD164" s="60"/>
      <c r="AE164" s="60"/>
      <c r="AF164" s="7"/>
      <c r="AG164" s="139"/>
      <c r="AH164" s="139"/>
      <c r="AI164" s="139"/>
      <c r="AJ164" s="139"/>
      <c r="AK164" s="200">
        <v>11</v>
      </c>
    </row>
    <row r="165" spans="1:37" s="200" customFormat="1" ht="11.45" customHeight="1">
      <c r="A165" s="569"/>
      <c r="B165" s="569"/>
      <c r="C165" s="569"/>
      <c r="D165" s="569"/>
      <c r="E165" s="569"/>
      <c r="F165" s="65"/>
      <c r="G165" s="65"/>
      <c r="N165" s="60"/>
      <c r="P165" s="60"/>
      <c r="Q165" s="65"/>
      <c r="R165" s="65"/>
      <c r="S165" s="60"/>
      <c r="T165" s="60"/>
      <c r="U165" s="60"/>
      <c r="V165" s="60"/>
      <c r="W165" s="65"/>
      <c r="X165" s="60"/>
      <c r="Y165" s="60"/>
      <c r="Z165" s="306"/>
      <c r="AA165" s="60"/>
      <c r="AB165" s="60"/>
      <c r="AC165" s="60"/>
      <c r="AD165" s="60"/>
      <c r="AE165" s="60"/>
      <c r="AF165" s="7"/>
      <c r="AG165" s="139"/>
      <c r="AH165" s="139"/>
      <c r="AI165" s="139"/>
      <c r="AJ165" s="139"/>
      <c r="AK165" s="200">
        <v>11</v>
      </c>
    </row>
    <row r="166" spans="1:37" s="200" customFormat="1" ht="11.45" customHeight="1">
      <c r="A166" s="569"/>
      <c r="B166" s="569"/>
      <c r="C166" s="569"/>
      <c r="D166" s="569"/>
      <c r="E166" s="569"/>
      <c r="F166" s="65"/>
      <c r="G166" s="65"/>
      <c r="N166" s="60"/>
      <c r="P166" s="60"/>
      <c r="Q166" s="65"/>
      <c r="R166" s="65"/>
      <c r="S166" s="60"/>
      <c r="T166" s="60"/>
      <c r="U166" s="60"/>
      <c r="V166" s="60"/>
      <c r="W166" s="65"/>
      <c r="X166" s="60"/>
      <c r="Y166" s="60"/>
      <c r="Z166" s="306"/>
      <c r="AA166" s="60"/>
      <c r="AB166" s="60"/>
      <c r="AC166" s="60"/>
      <c r="AD166" s="60"/>
      <c r="AE166" s="60"/>
      <c r="AF166" s="7"/>
      <c r="AG166" s="139"/>
      <c r="AH166" s="139"/>
      <c r="AI166" s="139"/>
      <c r="AJ166" s="139"/>
      <c r="AK166" s="200">
        <v>11</v>
      </c>
    </row>
    <row r="167" spans="1:37" s="200" customFormat="1" ht="11.45" customHeight="1">
      <c r="A167" s="569"/>
      <c r="B167" s="569"/>
      <c r="C167" s="569"/>
      <c r="D167" s="569"/>
      <c r="E167" s="569"/>
      <c r="F167" s="65"/>
      <c r="G167" s="65"/>
      <c r="N167" s="60"/>
      <c r="P167" s="60"/>
      <c r="Q167" s="65"/>
      <c r="R167" s="65"/>
      <c r="S167" s="60"/>
      <c r="T167" s="60"/>
      <c r="U167" s="60"/>
      <c r="V167" s="60"/>
      <c r="W167" s="65"/>
      <c r="X167" s="60"/>
      <c r="Y167" s="60"/>
      <c r="Z167" s="306"/>
      <c r="AA167" s="60"/>
      <c r="AB167" s="60"/>
      <c r="AC167" s="60"/>
      <c r="AD167" s="60"/>
      <c r="AE167" s="60"/>
      <c r="AF167" s="7"/>
      <c r="AG167" s="139"/>
      <c r="AH167" s="139"/>
      <c r="AI167" s="139"/>
      <c r="AJ167" s="139"/>
      <c r="AK167" s="200">
        <v>11</v>
      </c>
    </row>
    <row r="168" spans="1:37" s="200" customFormat="1" ht="11.45" customHeight="1">
      <c r="A168" s="569"/>
      <c r="B168" s="569"/>
      <c r="C168" s="569"/>
      <c r="D168" s="569"/>
      <c r="E168" s="569"/>
      <c r="F168" s="65"/>
      <c r="G168" s="65"/>
      <c r="N168" s="60"/>
      <c r="P168" s="60"/>
      <c r="Q168" s="65"/>
      <c r="R168" s="65"/>
      <c r="S168" s="60"/>
      <c r="T168" s="60"/>
      <c r="U168" s="60"/>
      <c r="V168" s="60"/>
      <c r="W168" s="65"/>
      <c r="X168" s="60"/>
      <c r="Y168" s="60"/>
      <c r="Z168" s="306"/>
      <c r="AA168" s="60"/>
      <c r="AB168" s="60"/>
      <c r="AC168" s="60"/>
      <c r="AD168" s="60"/>
      <c r="AE168" s="60"/>
      <c r="AF168" s="7"/>
      <c r="AG168" s="139"/>
      <c r="AH168" s="139"/>
      <c r="AI168" s="139"/>
      <c r="AJ168" s="139"/>
      <c r="AK168" s="200">
        <v>11</v>
      </c>
    </row>
    <row r="169" spans="1:37" s="200" customFormat="1" ht="11.45" customHeight="1">
      <c r="A169" s="569"/>
      <c r="B169" s="569"/>
      <c r="C169" s="569"/>
      <c r="D169" s="569"/>
      <c r="E169" s="569"/>
      <c r="F169" s="65"/>
      <c r="G169" s="65"/>
      <c r="N169" s="60"/>
      <c r="P169" s="60"/>
      <c r="Q169" s="65"/>
      <c r="R169" s="65"/>
      <c r="S169" s="60"/>
      <c r="T169" s="60"/>
      <c r="U169" s="60"/>
      <c r="V169" s="60"/>
      <c r="W169" s="65"/>
      <c r="X169" s="60"/>
      <c r="Y169" s="60"/>
      <c r="Z169" s="306"/>
      <c r="AA169" s="60"/>
      <c r="AB169" s="60"/>
      <c r="AC169" s="60"/>
      <c r="AD169" s="60"/>
      <c r="AE169" s="60"/>
      <c r="AF169" s="7"/>
      <c r="AG169" s="139"/>
      <c r="AH169" s="139"/>
      <c r="AI169" s="139"/>
      <c r="AJ169" s="139"/>
      <c r="AK169" s="200">
        <v>11</v>
      </c>
    </row>
    <row r="170" spans="1:37" s="200" customFormat="1" ht="11.45" customHeight="1">
      <c r="A170" s="569"/>
      <c r="B170" s="569"/>
      <c r="C170" s="569"/>
      <c r="D170" s="569"/>
      <c r="E170" s="569"/>
      <c r="F170" s="65"/>
      <c r="G170" s="65"/>
      <c r="N170" s="60"/>
      <c r="P170" s="60"/>
      <c r="Q170" s="65"/>
      <c r="R170" s="65"/>
      <c r="S170" s="60"/>
      <c r="T170" s="60"/>
      <c r="U170" s="60"/>
      <c r="V170" s="60"/>
      <c r="W170" s="65"/>
      <c r="X170" s="60"/>
      <c r="Y170" s="60"/>
      <c r="Z170" s="306"/>
      <c r="AA170" s="60"/>
      <c r="AB170" s="60"/>
      <c r="AC170" s="60"/>
      <c r="AD170" s="60"/>
      <c r="AE170" s="60"/>
      <c r="AF170" s="7"/>
      <c r="AG170" s="139"/>
      <c r="AH170" s="139"/>
      <c r="AI170" s="139"/>
      <c r="AJ170" s="139"/>
      <c r="AK170" s="200">
        <v>11</v>
      </c>
    </row>
    <row r="171" spans="1:37" s="200" customFormat="1" ht="11.45" customHeight="1">
      <c r="A171" s="569"/>
      <c r="B171" s="569"/>
      <c r="C171" s="569"/>
      <c r="D171" s="569"/>
      <c r="E171" s="569"/>
      <c r="F171" s="65"/>
      <c r="G171" s="65"/>
      <c r="N171" s="60"/>
      <c r="P171" s="60"/>
      <c r="Q171" s="65"/>
      <c r="R171" s="65"/>
      <c r="S171" s="60"/>
      <c r="T171" s="60"/>
      <c r="U171" s="60"/>
      <c r="V171" s="60"/>
      <c r="W171" s="65"/>
      <c r="X171" s="60"/>
      <c r="Y171" s="60"/>
      <c r="Z171" s="306"/>
      <c r="AA171" s="60"/>
      <c r="AB171" s="60"/>
      <c r="AC171" s="60"/>
      <c r="AD171" s="60"/>
      <c r="AE171" s="60"/>
      <c r="AF171" s="7"/>
      <c r="AG171" s="139"/>
      <c r="AH171" s="139"/>
      <c r="AI171" s="139"/>
      <c r="AJ171" s="139"/>
      <c r="AK171" s="200">
        <v>11</v>
      </c>
    </row>
    <row r="172" spans="1:37" s="200" customFormat="1" ht="11.45" customHeight="1">
      <c r="A172" s="569"/>
      <c r="B172" s="569"/>
      <c r="C172" s="569"/>
      <c r="D172" s="569"/>
      <c r="E172" s="569"/>
      <c r="F172" s="65"/>
      <c r="G172" s="65"/>
      <c r="N172" s="60"/>
      <c r="P172" s="60"/>
      <c r="Q172" s="65"/>
      <c r="R172" s="65"/>
      <c r="S172" s="60"/>
      <c r="T172" s="60"/>
      <c r="U172" s="60"/>
      <c r="V172" s="60"/>
      <c r="W172" s="65"/>
      <c r="X172" s="60"/>
      <c r="Y172" s="60"/>
      <c r="Z172" s="306"/>
      <c r="AA172" s="60"/>
      <c r="AB172" s="60"/>
      <c r="AC172" s="60"/>
      <c r="AD172" s="60"/>
      <c r="AE172" s="60"/>
      <c r="AF172" s="7"/>
      <c r="AG172" s="139"/>
      <c r="AH172" s="139"/>
      <c r="AI172" s="139"/>
      <c r="AJ172" s="139"/>
      <c r="AK172" s="200">
        <v>11</v>
      </c>
    </row>
    <row r="173" spans="1:37" s="200" customFormat="1" ht="11.45" customHeight="1">
      <c r="A173" s="569"/>
      <c r="B173" s="569"/>
      <c r="C173" s="569"/>
      <c r="D173" s="569"/>
      <c r="E173" s="569"/>
      <c r="F173" s="65"/>
      <c r="G173" s="65"/>
      <c r="N173" s="60"/>
      <c r="P173" s="60"/>
      <c r="Q173" s="65"/>
      <c r="R173" s="65"/>
      <c r="S173" s="60"/>
      <c r="T173" s="60"/>
      <c r="U173" s="60"/>
      <c r="V173" s="60"/>
      <c r="W173" s="65"/>
      <c r="X173" s="60"/>
      <c r="Y173" s="60"/>
      <c r="Z173" s="306"/>
      <c r="AA173" s="60"/>
      <c r="AB173" s="60"/>
      <c r="AC173" s="60"/>
      <c r="AD173" s="60"/>
      <c r="AE173" s="60"/>
      <c r="AF173" s="7"/>
      <c r="AG173" s="139"/>
      <c r="AH173" s="139"/>
      <c r="AI173" s="139"/>
      <c r="AJ173" s="139"/>
      <c r="AK173" s="200">
        <v>11</v>
      </c>
    </row>
    <row r="174" spans="1:37" s="200" customFormat="1" ht="11.45" customHeight="1">
      <c r="A174" s="569"/>
      <c r="B174" s="569"/>
      <c r="C174" s="569"/>
      <c r="D174" s="569"/>
      <c r="E174" s="569"/>
      <c r="F174" s="65"/>
      <c r="G174" s="65"/>
      <c r="N174" s="60"/>
      <c r="P174" s="60"/>
      <c r="Q174" s="65"/>
      <c r="R174" s="65"/>
      <c r="S174" s="60"/>
      <c r="T174" s="60"/>
      <c r="U174" s="60"/>
      <c r="V174" s="60"/>
      <c r="W174" s="65"/>
      <c r="X174" s="60"/>
      <c r="Y174" s="60"/>
      <c r="Z174" s="306"/>
      <c r="AA174" s="60"/>
      <c r="AB174" s="60"/>
      <c r="AC174" s="60"/>
      <c r="AD174" s="60"/>
      <c r="AE174" s="60"/>
      <c r="AF174" s="7"/>
      <c r="AG174" s="139"/>
      <c r="AH174" s="139"/>
      <c r="AI174" s="139"/>
      <c r="AJ174" s="139"/>
      <c r="AK174" s="200">
        <v>11</v>
      </c>
    </row>
    <row r="175" spans="1:37" s="200" customFormat="1" ht="11.45" customHeight="1">
      <c r="A175" s="569"/>
      <c r="B175" s="569"/>
      <c r="C175" s="569"/>
      <c r="D175" s="569"/>
      <c r="E175" s="569"/>
      <c r="F175" s="65"/>
      <c r="G175" s="65"/>
      <c r="N175" s="60"/>
      <c r="P175" s="60"/>
      <c r="Q175" s="65"/>
      <c r="R175" s="65"/>
      <c r="S175" s="60"/>
      <c r="T175" s="60"/>
      <c r="U175" s="60"/>
      <c r="V175" s="60"/>
      <c r="W175" s="65"/>
      <c r="X175" s="60"/>
      <c r="Y175" s="60"/>
      <c r="Z175" s="306"/>
      <c r="AA175" s="60"/>
      <c r="AB175" s="60"/>
      <c r="AC175" s="60"/>
      <c r="AD175" s="60"/>
      <c r="AE175" s="60"/>
      <c r="AF175" s="7"/>
      <c r="AG175" s="139"/>
      <c r="AH175" s="139"/>
      <c r="AI175" s="139"/>
      <c r="AJ175" s="139"/>
      <c r="AK175" s="200">
        <v>11</v>
      </c>
    </row>
    <row r="176" spans="1:37" s="200" customFormat="1" ht="11.45" customHeight="1">
      <c r="A176" s="569"/>
      <c r="B176" s="569"/>
      <c r="C176" s="569"/>
      <c r="D176" s="569"/>
      <c r="E176" s="569"/>
      <c r="F176" s="65"/>
      <c r="G176" s="65"/>
      <c r="N176" s="60"/>
      <c r="P176" s="60"/>
      <c r="Q176" s="65"/>
      <c r="R176" s="65"/>
      <c r="S176" s="60"/>
      <c r="T176" s="60"/>
      <c r="U176" s="60"/>
      <c r="V176" s="60"/>
      <c r="W176" s="65"/>
      <c r="X176" s="60"/>
      <c r="Y176" s="60"/>
      <c r="Z176" s="306"/>
      <c r="AA176" s="60"/>
      <c r="AB176" s="60"/>
      <c r="AC176" s="60"/>
      <c r="AD176" s="60"/>
      <c r="AE176" s="60"/>
      <c r="AF176" s="7"/>
      <c r="AG176" s="139"/>
      <c r="AH176" s="139"/>
      <c r="AI176" s="139"/>
      <c r="AJ176" s="139"/>
      <c r="AK176" s="200">
        <v>11</v>
      </c>
    </row>
    <row r="177" spans="1:37" s="200" customFormat="1" ht="11.45" customHeight="1">
      <c r="A177" s="569"/>
      <c r="B177" s="569"/>
      <c r="C177" s="569"/>
      <c r="D177" s="569"/>
      <c r="E177" s="569"/>
      <c r="F177" s="65"/>
      <c r="G177" s="65"/>
      <c r="N177" s="60"/>
      <c r="P177" s="60"/>
      <c r="Q177" s="65"/>
      <c r="R177" s="65"/>
      <c r="S177" s="60"/>
      <c r="T177" s="60"/>
      <c r="U177" s="60"/>
      <c r="V177" s="60"/>
      <c r="W177" s="65"/>
      <c r="X177" s="60"/>
      <c r="Y177" s="60"/>
      <c r="Z177" s="306"/>
      <c r="AA177" s="60"/>
      <c r="AB177" s="60"/>
      <c r="AC177" s="60"/>
      <c r="AD177" s="60"/>
      <c r="AE177" s="60"/>
      <c r="AF177" s="7"/>
      <c r="AG177" s="139"/>
      <c r="AH177" s="139"/>
      <c r="AI177" s="139"/>
      <c r="AJ177" s="139"/>
      <c r="AK177" s="200">
        <v>11</v>
      </c>
    </row>
    <row r="178" spans="1:37" s="200" customFormat="1" ht="11.45" customHeight="1">
      <c r="A178" s="569"/>
      <c r="B178" s="569"/>
      <c r="C178" s="569"/>
      <c r="D178" s="569"/>
      <c r="E178" s="569"/>
      <c r="F178" s="65"/>
      <c r="G178" s="65"/>
      <c r="N178" s="60"/>
      <c r="P178" s="60"/>
      <c r="Q178" s="65"/>
      <c r="R178" s="65"/>
      <c r="S178" s="60"/>
      <c r="T178" s="60"/>
      <c r="U178" s="60"/>
      <c r="V178" s="60"/>
      <c r="W178" s="65"/>
      <c r="X178" s="60"/>
      <c r="Y178" s="60"/>
      <c r="Z178" s="306"/>
      <c r="AA178" s="60"/>
      <c r="AB178" s="60"/>
      <c r="AC178" s="60"/>
      <c r="AD178" s="60"/>
      <c r="AE178" s="60"/>
      <c r="AF178" s="7"/>
      <c r="AG178" s="139"/>
      <c r="AH178" s="139"/>
      <c r="AI178" s="139"/>
      <c r="AJ178" s="139"/>
      <c r="AK178" s="200">
        <v>11</v>
      </c>
    </row>
    <row r="179" spans="1:37" s="200" customFormat="1" ht="11.45" customHeight="1">
      <c r="A179" s="569"/>
      <c r="B179" s="569"/>
      <c r="C179" s="569"/>
      <c r="D179" s="569"/>
      <c r="E179" s="569"/>
      <c r="F179" s="65"/>
      <c r="G179" s="65"/>
      <c r="N179" s="60"/>
      <c r="P179" s="60"/>
      <c r="Q179" s="65"/>
      <c r="R179" s="65"/>
      <c r="S179" s="60"/>
      <c r="T179" s="60"/>
      <c r="U179" s="60"/>
      <c r="V179" s="60"/>
      <c r="W179" s="65"/>
      <c r="X179" s="60"/>
      <c r="Y179" s="60"/>
      <c r="Z179" s="306"/>
      <c r="AA179" s="60"/>
      <c r="AB179" s="60"/>
      <c r="AC179" s="60"/>
      <c r="AD179" s="60"/>
      <c r="AE179" s="60"/>
      <c r="AF179" s="7"/>
      <c r="AG179" s="139"/>
      <c r="AH179" s="139"/>
      <c r="AI179" s="139"/>
      <c r="AJ179" s="139"/>
      <c r="AK179" s="200">
        <v>11</v>
      </c>
    </row>
    <row r="180" spans="1:37" s="200" customFormat="1" ht="11.45" customHeight="1">
      <c r="A180" s="569"/>
      <c r="B180" s="569"/>
      <c r="C180" s="569"/>
      <c r="D180" s="569"/>
      <c r="E180" s="569"/>
      <c r="F180" s="65"/>
      <c r="G180" s="65"/>
      <c r="N180" s="60"/>
      <c r="P180" s="60"/>
      <c r="Q180" s="65"/>
      <c r="R180" s="65"/>
      <c r="S180" s="60"/>
      <c r="T180" s="60"/>
      <c r="U180" s="60"/>
      <c r="V180" s="60"/>
      <c r="W180" s="65"/>
      <c r="X180" s="60"/>
      <c r="Y180" s="60"/>
      <c r="Z180" s="306"/>
      <c r="AA180" s="60"/>
      <c r="AB180" s="60"/>
      <c r="AC180" s="60"/>
      <c r="AD180" s="60"/>
      <c r="AE180" s="60"/>
      <c r="AF180" s="7"/>
      <c r="AG180" s="139"/>
      <c r="AH180" s="139"/>
      <c r="AI180" s="139"/>
      <c r="AJ180" s="139"/>
      <c r="AK180" s="200">
        <v>11</v>
      </c>
    </row>
    <row r="181" spans="1:37" s="200" customFormat="1" ht="11.45" customHeight="1">
      <c r="A181" s="569"/>
      <c r="B181" s="569"/>
      <c r="C181" s="569"/>
      <c r="D181" s="569"/>
      <c r="E181" s="569"/>
      <c r="F181" s="65"/>
      <c r="G181" s="65"/>
      <c r="N181" s="60"/>
      <c r="P181" s="60"/>
      <c r="Q181" s="65"/>
      <c r="R181" s="65"/>
      <c r="S181" s="60"/>
      <c r="T181" s="60"/>
      <c r="U181" s="60"/>
      <c r="V181" s="60"/>
      <c r="W181" s="65"/>
      <c r="X181" s="60"/>
      <c r="Y181" s="60"/>
      <c r="Z181" s="306"/>
      <c r="AA181" s="60"/>
      <c r="AB181" s="60"/>
      <c r="AC181" s="60"/>
      <c r="AD181" s="60"/>
      <c r="AE181" s="60"/>
      <c r="AF181" s="7"/>
      <c r="AG181" s="139"/>
      <c r="AH181" s="139"/>
      <c r="AI181" s="139"/>
      <c r="AJ181" s="139"/>
      <c r="AK181" s="200">
        <v>11</v>
      </c>
    </row>
    <row r="182" spans="1:37" s="200" customFormat="1" ht="11.45" customHeight="1">
      <c r="A182" s="569"/>
      <c r="B182" s="569"/>
      <c r="C182" s="569"/>
      <c r="D182" s="569"/>
      <c r="E182" s="569"/>
      <c r="F182" s="65"/>
      <c r="G182" s="65"/>
      <c r="N182" s="60"/>
      <c r="P182" s="60"/>
      <c r="Q182" s="65"/>
      <c r="R182" s="65"/>
      <c r="S182" s="60"/>
      <c r="T182" s="60"/>
      <c r="U182" s="60"/>
      <c r="V182" s="60"/>
      <c r="W182" s="65"/>
      <c r="X182" s="60"/>
      <c r="Y182" s="60"/>
      <c r="Z182" s="306"/>
      <c r="AA182" s="60"/>
      <c r="AB182" s="60"/>
      <c r="AC182" s="60"/>
      <c r="AD182" s="60"/>
      <c r="AE182" s="60"/>
      <c r="AF182" s="7"/>
      <c r="AG182" s="139"/>
      <c r="AH182" s="139"/>
      <c r="AI182" s="139"/>
      <c r="AJ182" s="139"/>
      <c r="AK182" s="200">
        <v>11</v>
      </c>
    </row>
    <row r="183" spans="1:37" s="200" customFormat="1" ht="11.45" customHeight="1">
      <c r="A183" s="569"/>
      <c r="B183" s="569"/>
      <c r="C183" s="569"/>
      <c r="D183" s="569"/>
      <c r="E183" s="569"/>
      <c r="F183" s="65"/>
      <c r="G183" s="65"/>
      <c r="N183" s="60"/>
      <c r="P183" s="60"/>
      <c r="Q183" s="65"/>
      <c r="R183" s="65"/>
      <c r="S183" s="60"/>
      <c r="T183" s="60"/>
      <c r="U183" s="60"/>
      <c r="V183" s="60"/>
      <c r="W183" s="65"/>
      <c r="X183" s="60"/>
      <c r="Y183" s="60"/>
      <c r="Z183" s="306"/>
      <c r="AA183" s="60"/>
      <c r="AB183" s="60"/>
      <c r="AC183" s="60"/>
      <c r="AD183" s="60"/>
      <c r="AE183" s="60"/>
      <c r="AF183" s="7"/>
      <c r="AG183" s="139"/>
      <c r="AH183" s="139"/>
      <c r="AI183" s="139"/>
      <c r="AJ183" s="139"/>
      <c r="AK183" s="200">
        <v>11</v>
      </c>
    </row>
    <row r="184" spans="1:37" s="200" customFormat="1" ht="11.45" customHeight="1">
      <c r="A184" s="569"/>
      <c r="B184" s="569"/>
      <c r="C184" s="569"/>
      <c r="D184" s="569"/>
      <c r="E184" s="569"/>
      <c r="F184" s="65"/>
      <c r="G184" s="65"/>
      <c r="N184" s="60"/>
      <c r="P184" s="60"/>
      <c r="Q184" s="65"/>
      <c r="R184" s="65"/>
      <c r="S184" s="60"/>
      <c r="T184" s="60"/>
      <c r="U184" s="60"/>
      <c r="V184" s="60"/>
      <c r="W184" s="65"/>
      <c r="X184" s="60"/>
      <c r="Y184" s="60"/>
      <c r="Z184" s="306"/>
      <c r="AA184" s="60"/>
      <c r="AB184" s="60"/>
      <c r="AC184" s="60"/>
      <c r="AD184" s="60"/>
      <c r="AE184" s="60"/>
      <c r="AF184" s="7"/>
      <c r="AG184" s="139"/>
      <c r="AH184" s="139"/>
      <c r="AI184" s="139"/>
      <c r="AJ184" s="139"/>
      <c r="AK184" s="200">
        <v>11</v>
      </c>
    </row>
    <row r="185" spans="1:37" s="200" customFormat="1" ht="11.45" customHeight="1">
      <c r="A185" s="569"/>
      <c r="B185" s="569"/>
      <c r="C185" s="569"/>
      <c r="D185" s="569"/>
      <c r="E185" s="569"/>
      <c r="F185" s="65"/>
      <c r="G185" s="65"/>
      <c r="N185" s="60"/>
      <c r="P185" s="60"/>
      <c r="Q185" s="65"/>
      <c r="R185" s="65"/>
      <c r="S185" s="60"/>
      <c r="T185" s="60"/>
      <c r="U185" s="60"/>
      <c r="V185" s="60"/>
      <c r="W185" s="65"/>
      <c r="X185" s="60"/>
      <c r="Y185" s="60"/>
      <c r="Z185" s="306"/>
      <c r="AA185" s="60"/>
      <c r="AB185" s="60"/>
      <c r="AC185" s="60"/>
      <c r="AD185" s="60"/>
      <c r="AE185" s="60"/>
      <c r="AF185" s="7"/>
      <c r="AG185" s="139"/>
      <c r="AH185" s="139"/>
      <c r="AI185" s="139"/>
      <c r="AJ185" s="139"/>
      <c r="AK185" s="200">
        <v>11</v>
      </c>
    </row>
    <row r="186" spans="1:37" s="200" customFormat="1" ht="11.45" customHeight="1">
      <c r="A186" s="569"/>
      <c r="B186" s="569"/>
      <c r="C186" s="569"/>
      <c r="D186" s="569"/>
      <c r="E186" s="569"/>
      <c r="F186" s="65"/>
      <c r="G186" s="65"/>
      <c r="N186" s="60"/>
      <c r="P186" s="60"/>
      <c r="Q186" s="65"/>
      <c r="R186" s="65"/>
      <c r="S186" s="60"/>
      <c r="T186" s="60"/>
      <c r="U186" s="60"/>
      <c r="V186" s="60"/>
      <c r="W186" s="65"/>
      <c r="X186" s="60"/>
      <c r="Y186" s="60"/>
      <c r="Z186" s="306"/>
      <c r="AA186" s="60"/>
      <c r="AB186" s="60"/>
      <c r="AC186" s="60"/>
      <c r="AD186" s="60"/>
      <c r="AE186" s="60"/>
      <c r="AF186" s="7"/>
      <c r="AG186" s="139"/>
      <c r="AH186" s="139"/>
      <c r="AI186" s="139"/>
      <c r="AJ186" s="139"/>
      <c r="AK186" s="200">
        <v>11</v>
      </c>
    </row>
    <row r="187" spans="1:37" s="200" customFormat="1" ht="11.45" customHeight="1">
      <c r="A187" s="569"/>
      <c r="B187" s="569"/>
      <c r="C187" s="569"/>
      <c r="D187" s="569"/>
      <c r="E187" s="569"/>
      <c r="F187" s="65"/>
      <c r="G187" s="65"/>
      <c r="N187" s="60"/>
      <c r="P187" s="60"/>
      <c r="Q187" s="65"/>
      <c r="R187" s="65"/>
      <c r="S187" s="60"/>
      <c r="T187" s="60"/>
      <c r="U187" s="60"/>
      <c r="V187" s="60"/>
      <c r="W187" s="65"/>
      <c r="X187" s="60"/>
      <c r="Y187" s="60"/>
      <c r="Z187" s="306"/>
      <c r="AA187" s="60"/>
      <c r="AB187" s="60"/>
      <c r="AC187" s="60"/>
      <c r="AD187" s="60"/>
      <c r="AE187" s="60"/>
      <c r="AF187" s="7"/>
      <c r="AG187" s="139"/>
      <c r="AH187" s="139"/>
      <c r="AI187" s="139"/>
      <c r="AJ187" s="139"/>
      <c r="AK187" s="200">
        <v>11</v>
      </c>
    </row>
    <row r="188" spans="1:37" s="200" customFormat="1" ht="11.45" customHeight="1">
      <c r="A188" s="569"/>
      <c r="B188" s="569"/>
      <c r="C188" s="569"/>
      <c r="D188" s="569"/>
      <c r="E188" s="569"/>
      <c r="F188" s="65"/>
      <c r="G188" s="65"/>
      <c r="N188" s="60"/>
      <c r="P188" s="60"/>
      <c r="Q188" s="65"/>
      <c r="R188" s="65"/>
      <c r="S188" s="60"/>
      <c r="T188" s="60"/>
      <c r="U188" s="60"/>
      <c r="V188" s="60"/>
      <c r="W188" s="65"/>
      <c r="X188" s="60"/>
      <c r="Y188" s="60"/>
      <c r="Z188" s="306"/>
      <c r="AA188" s="60"/>
      <c r="AB188" s="60"/>
      <c r="AC188" s="60"/>
      <c r="AD188" s="60"/>
      <c r="AE188" s="60"/>
      <c r="AF188" s="7"/>
      <c r="AG188" s="139"/>
      <c r="AH188" s="139"/>
      <c r="AI188" s="139"/>
      <c r="AJ188" s="139"/>
      <c r="AK188" s="200">
        <v>11</v>
      </c>
    </row>
    <row r="189" spans="1:37" s="200" customFormat="1" ht="11.45" customHeight="1">
      <c r="A189" s="569"/>
      <c r="B189" s="569"/>
      <c r="C189" s="569"/>
      <c r="D189" s="569"/>
      <c r="E189" s="569"/>
      <c r="F189" s="65"/>
      <c r="G189" s="65"/>
      <c r="N189" s="60"/>
      <c r="P189" s="60"/>
      <c r="Q189" s="65"/>
      <c r="R189" s="65"/>
      <c r="S189" s="60"/>
      <c r="T189" s="60"/>
      <c r="U189" s="60"/>
      <c r="V189" s="60"/>
      <c r="W189" s="65"/>
      <c r="X189" s="60"/>
      <c r="Y189" s="60"/>
      <c r="Z189" s="306"/>
      <c r="AA189" s="60"/>
      <c r="AB189" s="60"/>
      <c r="AC189" s="60"/>
      <c r="AD189" s="60"/>
      <c r="AE189" s="60"/>
      <c r="AF189" s="7"/>
      <c r="AG189" s="139"/>
      <c r="AH189" s="139"/>
      <c r="AI189" s="139"/>
      <c r="AJ189" s="139"/>
      <c r="AK189" s="200">
        <v>11</v>
      </c>
    </row>
    <row r="190" spans="1:37" ht="11.45" customHeight="1">
      <c r="AK190" s="10">
        <v>11</v>
      </c>
    </row>
    <row r="191" spans="1:37" ht="11.45" customHeight="1">
      <c r="AK191" s="10">
        <v>11</v>
      </c>
    </row>
    <row r="192" spans="1:37" ht="11.45" customHeight="1">
      <c r="AK192" s="10">
        <v>11</v>
      </c>
    </row>
    <row r="193" spans="1:37" ht="11.45" customHeight="1">
      <c r="A193" s="572"/>
      <c r="B193" s="572"/>
      <c r="C193" s="572"/>
      <c r="D193" s="572"/>
      <c r="E193" s="572"/>
      <c r="F193" s="10"/>
      <c r="N193" s="10"/>
      <c r="P193" s="10"/>
      <c r="S193" s="10"/>
      <c r="T193" s="10"/>
      <c r="U193" s="10"/>
      <c r="V193" s="10"/>
      <c r="X193" s="10"/>
      <c r="Y193" s="10"/>
      <c r="Z193" s="10"/>
      <c r="AA193" s="10"/>
      <c r="AB193" s="10"/>
      <c r="AC193" s="10"/>
      <c r="AD193" s="10"/>
      <c r="AE193" s="10"/>
      <c r="AF193" s="10"/>
      <c r="AG193" s="10"/>
      <c r="AH193" s="10"/>
      <c r="AI193" s="10"/>
      <c r="AJ193" s="10"/>
      <c r="AK193" s="10">
        <v>11</v>
      </c>
    </row>
    <row r="194" spans="1:37" ht="11.45" customHeight="1">
      <c r="A194" s="572"/>
      <c r="B194" s="572"/>
      <c r="C194" s="572"/>
      <c r="D194" s="572"/>
      <c r="E194" s="572"/>
      <c r="F194" s="10"/>
      <c r="N194" s="10"/>
      <c r="P194" s="10"/>
      <c r="S194" s="10"/>
      <c r="T194" s="10"/>
      <c r="U194" s="10"/>
      <c r="V194" s="10"/>
      <c r="X194" s="10"/>
      <c r="Y194" s="10"/>
      <c r="Z194" s="10"/>
      <c r="AA194" s="10"/>
      <c r="AB194" s="10"/>
      <c r="AC194" s="10"/>
      <c r="AD194" s="10"/>
      <c r="AE194" s="10"/>
      <c r="AF194" s="10"/>
      <c r="AG194" s="10"/>
      <c r="AH194" s="10"/>
      <c r="AI194" s="10"/>
      <c r="AJ194" s="10"/>
      <c r="AK194" s="10">
        <v>11</v>
      </c>
    </row>
    <row r="195" spans="1:37" ht="11.45" customHeight="1">
      <c r="A195" s="572"/>
      <c r="B195" s="572"/>
      <c r="C195" s="572"/>
      <c r="D195" s="572"/>
      <c r="E195" s="572"/>
      <c r="F195" s="10"/>
      <c r="N195" s="10"/>
      <c r="P195" s="10"/>
      <c r="S195" s="10"/>
      <c r="T195" s="10"/>
      <c r="U195" s="10"/>
      <c r="V195" s="10"/>
      <c r="X195" s="10"/>
      <c r="Y195" s="10"/>
      <c r="Z195" s="10"/>
      <c r="AA195" s="10"/>
      <c r="AB195" s="10"/>
      <c r="AC195" s="10"/>
      <c r="AD195" s="10"/>
      <c r="AE195" s="10"/>
      <c r="AF195" s="10"/>
      <c r="AG195" s="10"/>
      <c r="AH195" s="10"/>
      <c r="AI195" s="10"/>
      <c r="AJ195" s="10"/>
      <c r="AK195" s="10">
        <v>11</v>
      </c>
    </row>
    <row r="196" spans="1:37" ht="11.45" customHeight="1">
      <c r="A196" s="572"/>
      <c r="B196" s="572"/>
      <c r="C196" s="572"/>
      <c r="D196" s="572"/>
      <c r="E196" s="572"/>
      <c r="F196" s="10"/>
      <c r="N196" s="10"/>
      <c r="P196" s="10"/>
      <c r="S196" s="10"/>
      <c r="T196" s="10"/>
      <c r="U196" s="10"/>
      <c r="V196" s="10"/>
      <c r="X196" s="10"/>
      <c r="Y196" s="10"/>
      <c r="Z196" s="10"/>
      <c r="AA196" s="10"/>
      <c r="AB196" s="10"/>
      <c r="AC196" s="10"/>
      <c r="AD196" s="10"/>
      <c r="AE196" s="10"/>
      <c r="AF196" s="10"/>
      <c r="AG196" s="10"/>
      <c r="AH196" s="10"/>
      <c r="AI196" s="10"/>
      <c r="AJ196" s="10"/>
      <c r="AK196" s="10">
        <v>11</v>
      </c>
    </row>
    <row r="197" spans="1:37" ht="11.45" customHeight="1">
      <c r="A197" s="572"/>
      <c r="B197" s="572"/>
      <c r="C197" s="572"/>
      <c r="D197" s="572"/>
      <c r="E197" s="572"/>
      <c r="F197" s="10"/>
      <c r="N197" s="10"/>
      <c r="P197" s="10"/>
      <c r="S197" s="10"/>
      <c r="T197" s="10"/>
      <c r="U197" s="10"/>
      <c r="V197" s="10"/>
      <c r="X197" s="10"/>
      <c r="Y197" s="10"/>
      <c r="Z197" s="10"/>
      <c r="AA197" s="10"/>
      <c r="AB197" s="10"/>
      <c r="AC197" s="10"/>
      <c r="AD197" s="10"/>
      <c r="AE197" s="10"/>
      <c r="AF197" s="10"/>
      <c r="AG197" s="10"/>
      <c r="AH197" s="10"/>
      <c r="AI197" s="10"/>
      <c r="AJ197" s="10"/>
      <c r="AK197" s="10">
        <v>11</v>
      </c>
    </row>
    <row r="198" spans="1:37" ht="11.45" customHeight="1">
      <c r="A198" s="572"/>
      <c r="B198" s="572"/>
      <c r="C198" s="572"/>
      <c r="D198" s="572"/>
      <c r="E198" s="572"/>
      <c r="F198" s="10"/>
      <c r="N198" s="10"/>
      <c r="P198" s="10"/>
      <c r="S198" s="10"/>
      <c r="T198" s="10"/>
      <c r="U198" s="10"/>
      <c r="V198" s="10"/>
      <c r="X198" s="10"/>
      <c r="Y198" s="10"/>
      <c r="Z198" s="10"/>
      <c r="AA198" s="10"/>
      <c r="AB198" s="10"/>
      <c r="AC198" s="10"/>
      <c r="AD198" s="10"/>
      <c r="AE198" s="10"/>
      <c r="AF198" s="10"/>
      <c r="AG198" s="10"/>
      <c r="AH198" s="10"/>
      <c r="AI198" s="10"/>
      <c r="AJ198" s="10"/>
      <c r="AK198" s="10">
        <v>11</v>
      </c>
    </row>
    <row r="199" spans="1:37" ht="11.45" customHeight="1">
      <c r="A199" s="572"/>
      <c r="B199" s="572"/>
      <c r="C199" s="572"/>
      <c r="D199" s="572"/>
      <c r="E199" s="572"/>
      <c r="F199" s="10"/>
      <c r="N199" s="10"/>
      <c r="P199" s="10"/>
      <c r="S199" s="10"/>
      <c r="T199" s="10"/>
      <c r="U199" s="10"/>
      <c r="V199" s="10"/>
      <c r="X199" s="10"/>
      <c r="Y199" s="10"/>
      <c r="Z199" s="10"/>
      <c r="AA199" s="10"/>
      <c r="AB199" s="10"/>
      <c r="AC199" s="10"/>
      <c r="AD199" s="10"/>
      <c r="AE199" s="10"/>
      <c r="AF199" s="10"/>
      <c r="AG199" s="10"/>
      <c r="AH199" s="10"/>
      <c r="AI199" s="10"/>
      <c r="AJ199" s="10"/>
      <c r="AK199" s="10">
        <v>11</v>
      </c>
    </row>
    <row r="200" spans="1:37" ht="11.45" customHeight="1">
      <c r="A200" s="572"/>
      <c r="B200" s="572"/>
      <c r="C200" s="572"/>
      <c r="D200" s="572"/>
      <c r="E200" s="572"/>
      <c r="F200" s="10"/>
      <c r="N200" s="10"/>
      <c r="P200" s="10"/>
      <c r="S200" s="10"/>
      <c r="T200" s="10"/>
      <c r="U200" s="10"/>
      <c r="V200" s="10"/>
      <c r="X200" s="10"/>
      <c r="Y200" s="10"/>
      <c r="Z200" s="10"/>
      <c r="AA200" s="10"/>
      <c r="AB200" s="10"/>
      <c r="AC200" s="10"/>
      <c r="AD200" s="10"/>
      <c r="AE200" s="10"/>
      <c r="AF200" s="10"/>
      <c r="AG200" s="10"/>
      <c r="AH200" s="10"/>
      <c r="AI200" s="10"/>
      <c r="AJ200" s="10"/>
      <c r="AK200" s="10">
        <v>11</v>
      </c>
    </row>
    <row r="201" spans="1:37" ht="11.45" customHeight="1">
      <c r="A201" s="572"/>
      <c r="B201" s="572"/>
      <c r="C201" s="572"/>
      <c r="D201" s="572"/>
      <c r="E201" s="572"/>
      <c r="F201" s="10"/>
      <c r="N201" s="10"/>
      <c r="P201" s="10"/>
      <c r="S201" s="10"/>
      <c r="T201" s="10"/>
      <c r="U201" s="10"/>
      <c r="V201" s="10"/>
      <c r="X201" s="10"/>
      <c r="Y201" s="10"/>
      <c r="Z201" s="10"/>
      <c r="AA201" s="10"/>
      <c r="AB201" s="10"/>
      <c r="AC201" s="10"/>
      <c r="AD201" s="10"/>
      <c r="AE201" s="10"/>
      <c r="AF201" s="10"/>
      <c r="AG201" s="10"/>
      <c r="AH201" s="10"/>
      <c r="AI201" s="10"/>
      <c r="AJ201" s="10"/>
      <c r="AK201" s="10">
        <v>11</v>
      </c>
    </row>
    <row r="202" spans="1:37" ht="11.45" customHeight="1">
      <c r="A202" s="572"/>
      <c r="B202" s="572"/>
      <c r="C202" s="572"/>
      <c r="D202" s="572"/>
      <c r="E202" s="572"/>
      <c r="F202" s="10"/>
      <c r="N202" s="10"/>
      <c r="P202" s="10"/>
      <c r="S202" s="10"/>
      <c r="T202" s="10"/>
      <c r="U202" s="10"/>
      <c r="V202" s="10"/>
      <c r="X202" s="10"/>
      <c r="Y202" s="10"/>
      <c r="Z202" s="10"/>
      <c r="AA202" s="10"/>
      <c r="AB202" s="10"/>
      <c r="AC202" s="10"/>
      <c r="AD202" s="10"/>
      <c r="AE202" s="10"/>
      <c r="AF202" s="10"/>
      <c r="AG202" s="10"/>
      <c r="AH202" s="10"/>
      <c r="AI202" s="10"/>
      <c r="AJ202" s="10"/>
      <c r="AK202" s="10">
        <v>11</v>
      </c>
    </row>
    <row r="203" spans="1:37" ht="11.45" customHeight="1">
      <c r="A203" s="572"/>
      <c r="B203" s="572"/>
      <c r="C203" s="572"/>
      <c r="D203" s="572"/>
      <c r="E203" s="572"/>
      <c r="F203" s="10"/>
      <c r="N203" s="10"/>
      <c r="P203" s="10"/>
      <c r="S203" s="10"/>
      <c r="T203" s="10"/>
      <c r="U203" s="10"/>
      <c r="V203" s="10"/>
      <c r="X203" s="10"/>
      <c r="Y203" s="10"/>
      <c r="Z203" s="10"/>
      <c r="AA203" s="10"/>
      <c r="AB203" s="10"/>
      <c r="AC203" s="10"/>
      <c r="AD203" s="10"/>
      <c r="AE203" s="10"/>
      <c r="AF203" s="10"/>
      <c r="AG203" s="10"/>
      <c r="AH203" s="10"/>
      <c r="AI203" s="10"/>
      <c r="AJ203" s="10"/>
      <c r="AK203" s="10">
        <v>11</v>
      </c>
    </row>
    <row r="204" spans="1:37" ht="12.75" hidden="1" customHeight="1">
      <c r="A204" s="569" t="s">
        <v>80</v>
      </c>
      <c r="B204" s="569" t="s">
        <v>147</v>
      </c>
      <c r="C204" s="569" t="s">
        <v>147</v>
      </c>
      <c r="D204" s="569" t="s">
        <v>147</v>
      </c>
      <c r="E204" s="569" t="s">
        <v>147</v>
      </c>
      <c r="F204" s="10">
        <v>16</v>
      </c>
      <c r="G204" s="65">
        <v>0</v>
      </c>
      <c r="H204" s="10">
        <v>3</v>
      </c>
      <c r="I204" s="10">
        <v>7</v>
      </c>
      <c r="J204" s="10">
        <v>56</v>
      </c>
      <c r="K204" s="10">
        <v>10</v>
      </c>
      <c r="L204" s="10">
        <v>40</v>
      </c>
      <c r="M204" s="10">
        <v>40</v>
      </c>
      <c r="N204" s="60">
        <v>9</v>
      </c>
      <c r="O204" s="10">
        <v>102</v>
      </c>
      <c r="P204" s="60">
        <v>9</v>
      </c>
      <c r="Q204" s="65">
        <v>5</v>
      </c>
      <c r="R204" s="65">
        <v>3</v>
      </c>
      <c r="S204" s="60">
        <v>3</v>
      </c>
      <c r="T204" s="60">
        <v>3</v>
      </c>
      <c r="U204" s="60">
        <v>3</v>
      </c>
      <c r="V204" s="60">
        <v>3</v>
      </c>
      <c r="W204" s="65">
        <v>10</v>
      </c>
      <c r="X204" s="60">
        <v>34</v>
      </c>
      <c r="Y204" s="60">
        <v>9</v>
      </c>
      <c r="Z204" s="306">
        <v>8</v>
      </c>
      <c r="AA204" s="60">
        <v>8</v>
      </c>
      <c r="AB204" s="60">
        <v>8</v>
      </c>
      <c r="AC204" s="60">
        <v>8</v>
      </c>
      <c r="AD204" s="60">
        <v>8</v>
      </c>
      <c r="AE204" s="60">
        <v>8</v>
      </c>
      <c r="AF204" s="7">
        <v>8</v>
      </c>
      <c r="AG204" s="7">
        <v>8</v>
      </c>
      <c r="AH204" s="7">
        <v>8</v>
      </c>
      <c r="AI204" s="7">
        <v>8</v>
      </c>
      <c r="AJ204" s="7">
        <v>8</v>
      </c>
      <c r="AK204" s="1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0" hidden="1"/>
    <col min="5" max="5" width="9.140625" style="32" hidden="1" customWidth="1"/>
    <col min="6" max="7" width="9.140625" style="60" hidden="1" customWidth="1"/>
    <col min="8" max="8" width="3" style="28" customWidth="1"/>
    <col min="9" max="9" width="6" style="10" customWidth="1"/>
    <col min="10" max="10" width="63" style="10" customWidth="1"/>
    <col min="11" max="11" width="9" style="10" customWidth="1"/>
    <col min="12" max="12" width="39" style="10" customWidth="1"/>
    <col min="13" max="13" width="89" style="10" customWidth="1"/>
    <col min="14" max="14" width="10" style="10" customWidth="1"/>
    <col min="15" max="16" width="10" style="66" customWidth="1"/>
    <col min="17" max="22" width="10" style="10" customWidth="1"/>
    <col min="23" max="23" width="10.5703125" style="10" hidden="1"/>
  </cols>
  <sheetData>
    <row r="1" spans="1:23" ht="22.5" hidden="1" customHeight="1">
      <c r="S1" s="147"/>
      <c r="T1" s="147"/>
      <c r="V1" s="147"/>
      <c r="W1" s="10" t="s">
        <v>14</v>
      </c>
    </row>
    <row r="2" spans="1:23" ht="22.5" hidden="1" customHeight="1">
      <c r="B2" s="1085" t="s">
        <v>686</v>
      </c>
      <c r="C2" s="1085" t="s">
        <v>687</v>
      </c>
      <c r="D2" s="1084" t="s">
        <v>626</v>
      </c>
      <c r="E2" s="1087">
        <f>I2-3</f>
        <v>-3</v>
      </c>
      <c r="F2" s="1087">
        <f>J2</f>
        <v>0</v>
      </c>
      <c r="H2" s="938" t="s">
        <v>493</v>
      </c>
      <c r="I2" s="61"/>
      <c r="J2" s="494"/>
      <c r="K2" s="396" t="s">
        <v>306</v>
      </c>
      <c r="L2" s="114"/>
      <c r="M2" s="111"/>
      <c r="N2" s="66"/>
      <c r="P2" s="10"/>
      <c r="W2" s="10">
        <v>0</v>
      </c>
    </row>
    <row r="3" spans="1:23" ht="14.25" hidden="1" customHeight="1">
      <c r="W3" s="10">
        <v>0</v>
      </c>
    </row>
    <row r="4" spans="1:23" ht="6.4" customHeight="1">
      <c r="H4" s="27"/>
      <c r="I4" s="9"/>
      <c r="J4" s="9"/>
      <c r="K4" s="9"/>
      <c r="L4" s="19"/>
      <c r="M4" s="19"/>
      <c r="W4" s="10">
        <v>6</v>
      </c>
    </row>
    <row r="5" spans="1:23" ht="50.25" customHeight="1">
      <c r="H5" s="27"/>
      <c r="I5" s="1264" t="s">
        <v>688</v>
      </c>
      <c r="J5" s="1264"/>
      <c r="K5" s="1264"/>
      <c r="L5" s="1264"/>
      <c r="M5" s="153"/>
      <c r="W5" s="10">
        <v>48</v>
      </c>
    </row>
    <row r="6" spans="1:23" ht="18" customHeight="1">
      <c r="H6" s="27"/>
      <c r="I6" s="1236" t="str">
        <f>IF(org=0,"Не определено",org)</f>
        <v>Общество с ограниченной ответственностью "Березовский рудник"</v>
      </c>
      <c r="J6" s="1236"/>
      <c r="K6" s="1236"/>
      <c r="L6" s="1236"/>
      <c r="M6" s="153"/>
      <c r="W6" s="10">
        <v>17</v>
      </c>
    </row>
    <row r="7" spans="1:23" ht="14.65" customHeight="1">
      <c r="H7" s="27"/>
      <c r="I7" s="9"/>
      <c r="J7" s="13"/>
      <c r="K7" s="13"/>
      <c r="L7" s="432"/>
      <c r="M7" s="98"/>
      <c r="W7" s="10">
        <v>14</v>
      </c>
    </row>
    <row r="8" spans="1:23" ht="14.65" customHeight="1">
      <c r="H8" s="27"/>
      <c r="I8" s="1384" t="s">
        <v>300</v>
      </c>
      <c r="J8" s="1385"/>
      <c r="K8" s="1385"/>
      <c r="L8" s="1386"/>
      <c r="M8" s="1387" t="s">
        <v>301</v>
      </c>
      <c r="W8" s="10">
        <v>14</v>
      </c>
    </row>
    <row r="9" spans="1:23" ht="35.65" customHeight="1">
      <c r="E9" s="1083" t="s">
        <v>617</v>
      </c>
      <c r="F9" s="1083" t="s">
        <v>623</v>
      </c>
      <c r="H9" s="27"/>
      <c r="I9" s="35" t="s">
        <v>86</v>
      </c>
      <c r="J9" s="38" t="s">
        <v>302</v>
      </c>
      <c r="K9" s="236" t="s">
        <v>565</v>
      </c>
      <c r="L9" s="38" t="s">
        <v>303</v>
      </c>
      <c r="M9" s="1387"/>
      <c r="W9" s="10">
        <v>34</v>
      </c>
    </row>
    <row r="10" spans="1:23" ht="35.65" customHeight="1">
      <c r="B10" s="1085" t="s">
        <v>689</v>
      </c>
      <c r="C10" s="1085" t="s">
        <v>690</v>
      </c>
      <c r="D10" s="1084" t="s">
        <v>626</v>
      </c>
      <c r="E10" s="1087" t="s">
        <v>627</v>
      </c>
      <c r="F10" s="1087" t="s">
        <v>627</v>
      </c>
      <c r="H10" s="27"/>
      <c r="I10" s="61" t="s">
        <v>107</v>
      </c>
      <c r="J10" s="1016" t="s">
        <v>691</v>
      </c>
      <c r="K10" s="396" t="s">
        <v>306</v>
      </c>
      <c r="L10" s="225"/>
      <c r="M10" s="111" t="s">
        <v>692</v>
      </c>
      <c r="W10" s="10">
        <v>34</v>
      </c>
    </row>
    <row r="11" spans="1:23" ht="50.25" customHeight="1">
      <c r="B11" s="1085" t="s">
        <v>693</v>
      </c>
      <c r="C11" s="1085" t="s">
        <v>694</v>
      </c>
      <c r="D11" s="1084" t="s">
        <v>626</v>
      </c>
      <c r="E11" s="1087" t="s">
        <v>627</v>
      </c>
      <c r="F11" s="1087" t="s">
        <v>627</v>
      </c>
      <c r="H11" s="27"/>
      <c r="I11" s="61" t="s">
        <v>108</v>
      </c>
      <c r="J11" s="1016" t="s">
        <v>695</v>
      </c>
      <c r="K11" s="396" t="s">
        <v>306</v>
      </c>
      <c r="L11" s="225"/>
      <c r="M11" s="111" t="s">
        <v>692</v>
      </c>
      <c r="W11" s="10">
        <v>48</v>
      </c>
    </row>
    <row r="12" spans="1:23" ht="48.2" customHeight="1">
      <c r="B12" s="1085" t="s">
        <v>696</v>
      </c>
      <c r="C12" s="1085" t="s">
        <v>697</v>
      </c>
      <c r="D12" s="1084" t="s">
        <v>626</v>
      </c>
      <c r="E12" s="1087" t="s">
        <v>627</v>
      </c>
      <c r="F12" s="1087" t="s">
        <v>627</v>
      </c>
      <c r="H12" s="22"/>
      <c r="I12" s="61" t="s">
        <v>88</v>
      </c>
      <c r="J12" s="120" t="s">
        <v>698</v>
      </c>
      <c r="K12" s="396" t="s">
        <v>306</v>
      </c>
      <c r="L12" s="225"/>
      <c r="M12" s="111" t="s">
        <v>699</v>
      </c>
      <c r="N12" s="66"/>
      <c r="P12" s="10"/>
      <c r="W12" s="10">
        <v>46</v>
      </c>
    </row>
    <row r="13" spans="1:23" ht="14.65" customHeight="1">
      <c r="E13" s="33"/>
      <c r="H13" s="27"/>
      <c r="I13" s="39"/>
      <c r="J13" s="51" t="s">
        <v>700</v>
      </c>
      <c r="K13" s="108"/>
      <c r="L13" s="105"/>
      <c r="M13" s="111"/>
      <c r="W13" s="10">
        <v>14</v>
      </c>
    </row>
    <row r="14" spans="1:23" ht="14.65" customHeight="1">
      <c r="E14" s="33"/>
      <c r="H14" s="27"/>
      <c r="I14" s="222"/>
      <c r="J14" s="900"/>
      <c r="K14" s="901"/>
      <c r="L14" s="902"/>
      <c r="M14" s="370"/>
      <c r="W14" s="10">
        <v>14</v>
      </c>
    </row>
    <row r="15" spans="1:23" ht="14.65" customHeight="1">
      <c r="I15" s="195"/>
      <c r="J15" s="1282"/>
      <c r="K15" s="1282"/>
      <c r="L15" s="1282"/>
      <c r="M15" s="1282"/>
      <c r="W15" s="10">
        <v>14</v>
      </c>
    </row>
    <row r="16" spans="1:23" ht="21" hidden="1" customHeight="1">
      <c r="A16" s="32" t="s">
        <v>80</v>
      </c>
      <c r="B16" s="10">
        <v>9</v>
      </c>
      <c r="C16" s="10">
        <v>9</v>
      </c>
      <c r="D16" s="10">
        <v>9</v>
      </c>
      <c r="E16" s="32" t="s">
        <v>146</v>
      </c>
      <c r="F16" s="32" t="s">
        <v>146</v>
      </c>
      <c r="G16" s="32"/>
      <c r="H16" s="28">
        <v>3</v>
      </c>
      <c r="I16" s="10">
        <v>6</v>
      </c>
      <c r="J16" s="10">
        <v>63</v>
      </c>
      <c r="K16" s="10">
        <v>9</v>
      </c>
      <c r="L16" s="10">
        <v>39</v>
      </c>
      <c r="M16" s="10">
        <v>89</v>
      </c>
      <c r="N16" s="10">
        <v>10</v>
      </c>
      <c r="O16" s="66">
        <v>10</v>
      </c>
      <c r="P16" s="66">
        <v>10</v>
      </c>
      <c r="Q16" s="10">
        <v>10</v>
      </c>
      <c r="R16" s="10">
        <v>10</v>
      </c>
      <c r="S16" s="10">
        <v>10</v>
      </c>
      <c r="T16" s="10">
        <v>10</v>
      </c>
      <c r="U16" s="10">
        <v>10</v>
      </c>
      <c r="V16" s="10">
        <v>10</v>
      </c>
      <c r="W16" s="1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569" hidden="1" customWidth="1"/>
    <col min="2" max="2" width="16.85546875" style="60" hidden="1" customWidth="1"/>
    <col min="3" max="3" width="5.5703125" style="65" hidden="1" customWidth="1"/>
    <col min="4" max="4" width="3" style="10" customWidth="1"/>
    <col min="5" max="5" width="7" style="10" customWidth="1"/>
    <col min="6" max="6" width="56" style="10" customWidth="1"/>
    <col min="7" max="7" width="10" style="10" customWidth="1"/>
    <col min="8" max="8" width="40.7109375" style="10" hidden="1" customWidth="1"/>
    <col min="9" max="9" width="40" style="10" customWidth="1"/>
    <col min="10" max="10" width="102" style="10" customWidth="1"/>
    <col min="11" max="11" width="9" style="60" customWidth="1"/>
    <col min="12" max="12" width="5" style="65" customWidth="1"/>
    <col min="13" max="13" width="3" style="65" customWidth="1"/>
    <col min="14" max="17" width="3" style="60" customWidth="1"/>
    <col min="18" max="18" width="10" style="65" customWidth="1"/>
    <col min="19" max="19" width="34" style="60" customWidth="1"/>
    <col min="20" max="20" width="9" style="60" customWidth="1"/>
    <col min="21" max="21" width="8" style="306" customWidth="1"/>
    <col min="22" max="26" width="8" style="60" customWidth="1"/>
    <col min="27" max="31" width="8" style="7" customWidth="1"/>
    <col min="32" max="32" width="10.42578125" style="10" hidden="1" customWidth="1"/>
  </cols>
  <sheetData>
    <row r="1" spans="1:32" s="60" customFormat="1" ht="22.5" hidden="1" customHeight="1">
      <c r="A1" s="569"/>
      <c r="C1" s="65"/>
      <c r="H1" s="60">
        <v>4</v>
      </c>
      <c r="I1" s="60">
        <v>4</v>
      </c>
      <c r="L1" s="65"/>
      <c r="M1" s="65"/>
      <c r="R1" s="65"/>
      <c r="AF1" s="60" t="s">
        <v>14</v>
      </c>
    </row>
    <row r="2" spans="1:32" s="60" customFormat="1" ht="22.5" hidden="1" customHeight="1">
      <c r="A2" s="569"/>
      <c r="C2" s="65"/>
      <c r="D2" s="301"/>
      <c r="E2" s="40"/>
      <c r="F2" s="302"/>
      <c r="G2" s="40" t="s">
        <v>551</v>
      </c>
      <c r="H2" s="303"/>
      <c r="I2" s="303"/>
      <c r="J2" s="304" t="s">
        <v>701</v>
      </c>
      <c r="K2" s="305"/>
      <c r="L2" s="65"/>
      <c r="M2" s="65"/>
      <c r="R2" s="65"/>
      <c r="U2" s="306"/>
      <c r="AA2" s="7"/>
      <c r="AB2" s="7"/>
      <c r="AC2" s="7"/>
      <c r="AD2" s="7"/>
      <c r="AE2" s="7"/>
      <c r="AF2" s="60">
        <v>0</v>
      </c>
    </row>
    <row r="3" spans="1:32" ht="11.25" hidden="1" customHeight="1">
      <c r="AF3" s="10">
        <v>0</v>
      </c>
    </row>
    <row r="4" spans="1:32" s="7" customFormat="1" ht="11.25" hidden="1" customHeight="1">
      <c r="A4" s="569"/>
      <c r="B4" s="60"/>
      <c r="C4" s="65"/>
      <c r="J4" s="7">
        <v>4</v>
      </c>
      <c r="K4" s="60"/>
      <c r="L4" s="65"/>
      <c r="M4" s="65"/>
      <c r="N4" s="60"/>
      <c r="O4" s="60"/>
      <c r="P4" s="60"/>
      <c r="Q4" s="60"/>
      <c r="R4" s="65"/>
      <c r="S4" s="60"/>
      <c r="T4" s="60"/>
      <c r="U4" s="306"/>
      <c r="V4" s="60"/>
      <c r="W4" s="60"/>
      <c r="X4" s="60"/>
      <c r="Y4" s="60"/>
      <c r="Z4" s="60"/>
      <c r="AF4" s="7">
        <v>0</v>
      </c>
    </row>
    <row r="5" spans="1:32" ht="11.45" customHeight="1">
      <c r="AF5" s="10">
        <v>11</v>
      </c>
    </row>
    <row r="6" spans="1:32" ht="31.5" customHeight="1">
      <c r="E6" s="1215" t="s">
        <v>702</v>
      </c>
      <c r="F6" s="1215"/>
      <c r="G6" s="1215"/>
      <c r="H6" s="1215"/>
      <c r="I6" s="1215"/>
      <c r="J6" s="57"/>
      <c r="AF6" s="10">
        <v>30</v>
      </c>
    </row>
    <row r="7" spans="1:32" ht="11.45" customHeight="1">
      <c r="E7" s="1236" t="str">
        <f>IF(org=0,"Не определено",org)</f>
        <v>Общество с ограниченной ответственностью "Березовский рудник"</v>
      </c>
      <c r="F7" s="1236"/>
      <c r="G7" s="1236"/>
      <c r="H7" s="1236"/>
      <c r="I7" s="1236"/>
      <c r="AF7" s="10">
        <v>11</v>
      </c>
    </row>
    <row r="8" spans="1:32" ht="11.45" customHeight="1">
      <c r="E8" s="664"/>
      <c r="F8" s="664"/>
      <c r="G8" s="664"/>
      <c r="H8" s="664"/>
      <c r="I8" s="664"/>
      <c r="AF8" s="10">
        <v>11</v>
      </c>
    </row>
    <row r="9" spans="1:32" s="65" customFormat="1" ht="4.1500000000000004" customHeight="1">
      <c r="A9" s="310"/>
      <c r="H9" s="511"/>
      <c r="I9" s="511" t="s">
        <v>115</v>
      </c>
      <c r="AF9" s="65">
        <v>4</v>
      </c>
    </row>
    <row r="10" spans="1:32" ht="11.45" customHeight="1">
      <c r="E10" s="406"/>
      <c r="F10" s="1370" t="s">
        <v>103</v>
      </c>
      <c r="G10" s="1371"/>
      <c r="H10" s="856" t="str">
        <f>IF(H9="","",INDEX(DIFFERENTIATION_UNMERGE_VD,MATCH(H9,DIFFERENTIATION_ID_DIFF,0)))</f>
        <v/>
      </c>
      <c r="I10" s="856">
        <f>IF(I9="","",INDEX(DIFFERENTIATION_UNMERGE_VD,MATCH(I9,DIFFERENTIATION_ID_DIFF,0)))</f>
        <v>0</v>
      </c>
      <c r="J10" s="1146"/>
      <c r="AF10" s="10">
        <v>11</v>
      </c>
    </row>
    <row r="11" spans="1:32" ht="11.45" customHeight="1">
      <c r="E11" s="406"/>
      <c r="F11" s="1370" t="s">
        <v>563</v>
      </c>
      <c r="G11" s="1371"/>
      <c r="H11" s="856" t="str">
        <f>IF(H9="","",INDEX(DIFFERENTIATION_UNMERGE_AREA,MATCH(H9,DIFFERENTIATION_ID_DIFF,0)))</f>
        <v/>
      </c>
      <c r="I11" s="856" t="str">
        <f>IF(I9="","",INDEX(DIFFERENTIATION_UNMERGE_AREA,MATCH(I9,DIFFERENTIATION_ID_DIFF,0)))</f>
        <v/>
      </c>
      <c r="J11" s="1146"/>
      <c r="AF11" s="10">
        <v>11</v>
      </c>
    </row>
    <row r="12" spans="1:32" ht="1.1499999999999999" customHeight="1">
      <c r="E12" s="894"/>
      <c r="F12" s="1388" t="s">
        <v>564</v>
      </c>
      <c r="G12" s="1389"/>
      <c r="H12" s="895" t="str">
        <f>IF(H9="","",INDEX(DIFFERENTIATION_UNMERGE_SYSTEM,MATCH(H9,DIFFERENTIATION_ID_DIFF,0)))</f>
        <v/>
      </c>
      <c r="I12" s="895" t="str">
        <f>IF(I9="","",INDEX(DIFFERENTIATION_UNMERGE_SYSTEM,MATCH(I9,DIFFERENTIATION_ID_DIFF,0)))</f>
        <v>без дифференциации</v>
      </c>
      <c r="J12" s="1146"/>
      <c r="AF12" s="10">
        <v>1</v>
      </c>
    </row>
    <row r="13" spans="1:32" ht="11.45" customHeight="1">
      <c r="E13" s="1372" t="s">
        <v>300</v>
      </c>
      <c r="F13" s="1373"/>
      <c r="G13" s="1373"/>
      <c r="H13" s="509"/>
      <c r="I13" s="509"/>
      <c r="J13" s="1146"/>
      <c r="AF13" s="10">
        <v>11</v>
      </c>
    </row>
    <row r="14" spans="1:32" ht="24" customHeight="1">
      <c r="E14" s="40" t="s">
        <v>86</v>
      </c>
      <c r="F14" s="40" t="s">
        <v>302</v>
      </c>
      <c r="G14" s="40" t="s">
        <v>565</v>
      </c>
      <c r="H14" s="40" t="s">
        <v>303</v>
      </c>
      <c r="I14" s="40" t="s">
        <v>303</v>
      </c>
      <c r="J14" s="1146"/>
      <c r="AF14" s="10">
        <v>23</v>
      </c>
    </row>
    <row r="15" spans="1:32" ht="19.899999999999999" customHeight="1">
      <c r="D15" s="53"/>
      <c r="E15" s="892" t="s">
        <v>107</v>
      </c>
      <c r="F15" s="150" t="s">
        <v>703</v>
      </c>
      <c r="G15" s="40" t="s">
        <v>551</v>
      </c>
      <c r="H15" s="318"/>
      <c r="I15" s="318"/>
      <c r="J15" s="64" t="s">
        <v>704</v>
      </c>
      <c r="K15" s="305" t="s">
        <v>629</v>
      </c>
      <c r="AF15" s="10">
        <v>19</v>
      </c>
    </row>
    <row r="16" spans="1:32" ht="35.65" customHeight="1">
      <c r="D16" s="53"/>
      <c r="E16" s="892" t="s">
        <v>108</v>
      </c>
      <c r="F16" s="150" t="s">
        <v>705</v>
      </c>
      <c r="G16" s="40" t="s">
        <v>551</v>
      </c>
      <c r="H16" s="319">
        <f>SUM(H17,H20:H32)</f>
        <v>0</v>
      </c>
      <c r="I16" s="319">
        <f>SUM(I17,I20,I23,I26,I29:I32)</f>
        <v>0</v>
      </c>
      <c r="J16" s="64" t="s">
        <v>706</v>
      </c>
      <c r="K16" s="305" t="s">
        <v>629</v>
      </c>
      <c r="AF16" s="10">
        <v>34</v>
      </c>
    </row>
    <row r="17" spans="1:32" ht="19.899999999999999" customHeight="1">
      <c r="D17" s="53"/>
      <c r="E17" s="896" t="s">
        <v>707</v>
      </c>
      <c r="F17" s="320" t="s">
        <v>708</v>
      </c>
      <c r="G17" s="392" t="s">
        <v>551</v>
      </c>
      <c r="H17" s="318"/>
      <c r="I17" s="318"/>
      <c r="J17" s="64" t="s">
        <v>709</v>
      </c>
      <c r="K17" s="305"/>
      <c r="AF17" s="10">
        <v>19</v>
      </c>
    </row>
    <row r="18" spans="1:32" ht="24" customHeight="1">
      <c r="D18" s="53"/>
      <c r="E18" s="896" t="s">
        <v>710</v>
      </c>
      <c r="F18" s="335" t="s">
        <v>711</v>
      </c>
      <c r="G18" s="392" t="s">
        <v>551</v>
      </c>
      <c r="H18" s="318"/>
      <c r="I18" s="318"/>
      <c r="J18" s="64" t="s">
        <v>712</v>
      </c>
      <c r="K18" s="305"/>
      <c r="AF18" s="10">
        <v>23</v>
      </c>
    </row>
    <row r="19" spans="1:32" ht="35.65" customHeight="1">
      <c r="D19" s="53"/>
      <c r="E19" s="896" t="s">
        <v>713</v>
      </c>
      <c r="F19" s="335" t="s">
        <v>714</v>
      </c>
      <c r="G19" s="392" t="s">
        <v>551</v>
      </c>
      <c r="H19" s="318"/>
      <c r="I19" s="318"/>
      <c r="J19" s="64"/>
      <c r="K19" s="305"/>
      <c r="AF19" s="10">
        <v>34</v>
      </c>
    </row>
    <row r="20" spans="1:32" ht="19.899999999999999" customHeight="1">
      <c r="D20" s="53"/>
      <c r="E20" s="896" t="s">
        <v>307</v>
      </c>
      <c r="F20" s="320" t="s">
        <v>715</v>
      </c>
      <c r="G20" s="392" t="s">
        <v>551</v>
      </c>
      <c r="H20" s="318"/>
      <c r="I20" s="318"/>
      <c r="J20" s="64" t="s">
        <v>716</v>
      </c>
      <c r="K20" s="305"/>
      <c r="AF20" s="10">
        <v>19</v>
      </c>
    </row>
    <row r="21" spans="1:32" ht="19.899999999999999" customHeight="1">
      <c r="D21" s="53"/>
      <c r="E21" s="896" t="s">
        <v>717</v>
      </c>
      <c r="F21" s="335" t="s">
        <v>718</v>
      </c>
      <c r="G21" s="392" t="s">
        <v>551</v>
      </c>
      <c r="H21" s="318"/>
      <c r="I21" s="318"/>
      <c r="J21" s="64"/>
      <c r="K21" s="305"/>
      <c r="AF21" s="10">
        <v>19</v>
      </c>
    </row>
    <row r="22" spans="1:32" ht="19.899999999999999" customHeight="1">
      <c r="D22" s="53"/>
      <c r="E22" s="896" t="s">
        <v>719</v>
      </c>
      <c r="F22" s="335" t="s">
        <v>720</v>
      </c>
      <c r="G22" s="392" t="s">
        <v>551</v>
      </c>
      <c r="H22" s="318"/>
      <c r="I22" s="318"/>
      <c r="J22" s="64"/>
      <c r="K22" s="305"/>
      <c r="AF22" s="10">
        <v>19</v>
      </c>
    </row>
    <row r="23" spans="1:32" ht="24" customHeight="1">
      <c r="D23" s="53"/>
      <c r="E23" s="896" t="s">
        <v>310</v>
      </c>
      <c r="F23" s="320" t="s">
        <v>721</v>
      </c>
      <c r="G23" s="392" t="s">
        <v>551</v>
      </c>
      <c r="H23" s="318"/>
      <c r="I23" s="318"/>
      <c r="J23" s="64" t="s">
        <v>722</v>
      </c>
      <c r="K23" s="305"/>
      <c r="AF23" s="10">
        <v>23</v>
      </c>
    </row>
    <row r="24" spans="1:32" ht="19.899999999999999" customHeight="1">
      <c r="D24" s="53"/>
      <c r="E24" s="896" t="s">
        <v>723</v>
      </c>
      <c r="F24" s="335" t="s">
        <v>724</v>
      </c>
      <c r="G24" s="392" t="s">
        <v>551</v>
      </c>
      <c r="H24" s="318"/>
      <c r="I24" s="318"/>
      <c r="J24" s="64"/>
      <c r="K24" s="305"/>
      <c r="AF24" s="10">
        <v>19</v>
      </c>
    </row>
    <row r="25" spans="1:32" ht="35.65" customHeight="1">
      <c r="D25" s="53"/>
      <c r="E25" s="896" t="s">
        <v>725</v>
      </c>
      <c r="F25" s="335" t="s">
        <v>726</v>
      </c>
      <c r="G25" s="392" t="s">
        <v>551</v>
      </c>
      <c r="H25" s="318"/>
      <c r="I25" s="318"/>
      <c r="J25" s="64"/>
      <c r="K25" s="305"/>
      <c r="AF25" s="10">
        <v>34</v>
      </c>
    </row>
    <row r="26" spans="1:32" ht="24" customHeight="1">
      <c r="D26" s="53"/>
      <c r="E26" s="896" t="s">
        <v>727</v>
      </c>
      <c r="F26" s="320" t="s">
        <v>728</v>
      </c>
      <c r="G26" s="392" t="s">
        <v>551</v>
      </c>
      <c r="H26" s="318"/>
      <c r="I26" s="318"/>
      <c r="J26" s="64" t="s">
        <v>729</v>
      </c>
      <c r="K26" s="305"/>
      <c r="AF26" s="10">
        <v>23</v>
      </c>
    </row>
    <row r="27" spans="1:32" ht="19.899999999999999" customHeight="1">
      <c r="D27" s="53"/>
      <c r="E27" s="898" t="s">
        <v>730</v>
      </c>
      <c r="F27" s="335" t="s">
        <v>731</v>
      </c>
      <c r="G27" s="392" t="s">
        <v>551</v>
      </c>
      <c r="H27" s="899"/>
      <c r="I27" s="899"/>
      <c r="J27" s="64"/>
      <c r="K27" s="305"/>
      <c r="AF27" s="10">
        <v>19</v>
      </c>
    </row>
    <row r="28" spans="1:32" ht="19.899999999999999" customHeight="1">
      <c r="D28" s="53"/>
      <c r="E28" s="898" t="s">
        <v>732</v>
      </c>
      <c r="F28" s="335" t="s">
        <v>733</v>
      </c>
      <c r="G28" s="392" t="s">
        <v>551</v>
      </c>
      <c r="H28" s="899"/>
      <c r="I28" s="899"/>
      <c r="J28" s="64"/>
      <c r="K28" s="305"/>
      <c r="AF28" s="10">
        <v>19</v>
      </c>
    </row>
    <row r="29" spans="1:32" ht="19.899999999999999" customHeight="1">
      <c r="D29" s="53"/>
      <c r="E29" s="898" t="s">
        <v>734</v>
      </c>
      <c r="F29" s="320" t="s">
        <v>735</v>
      </c>
      <c r="G29" s="392" t="s">
        <v>551</v>
      </c>
      <c r="H29" s="899"/>
      <c r="I29" s="899"/>
      <c r="J29" s="64"/>
      <c r="K29" s="305"/>
      <c r="AF29" s="10">
        <v>19</v>
      </c>
    </row>
    <row r="30" spans="1:32" ht="19.899999999999999" customHeight="1">
      <c r="D30" s="53"/>
      <c r="E30" s="898" t="s">
        <v>736</v>
      </c>
      <c r="F30" s="320" t="s">
        <v>737</v>
      </c>
      <c r="G30" s="392" t="s">
        <v>551</v>
      </c>
      <c r="H30" s="899"/>
      <c r="I30" s="899"/>
      <c r="J30" s="64"/>
      <c r="K30" s="305"/>
      <c r="AF30" s="10">
        <v>19</v>
      </c>
    </row>
    <row r="31" spans="1:32" ht="19.899999999999999" customHeight="1">
      <c r="D31" s="53"/>
      <c r="E31" s="898" t="s">
        <v>738</v>
      </c>
      <c r="F31" s="320" t="s">
        <v>739</v>
      </c>
      <c r="G31" s="392" t="s">
        <v>551</v>
      </c>
      <c r="H31" s="899"/>
      <c r="I31" s="899"/>
      <c r="J31" s="64"/>
      <c r="K31" s="305"/>
      <c r="AF31" s="10">
        <v>19</v>
      </c>
    </row>
    <row r="32" spans="1:32" s="60" customFormat="1" ht="35.65" customHeight="1">
      <c r="A32" s="569"/>
      <c r="C32" s="65"/>
      <c r="D32" s="53"/>
      <c r="E32" s="898" t="s">
        <v>740</v>
      </c>
      <c r="F32" s="320" t="s">
        <v>741</v>
      </c>
      <c r="G32" s="337" t="s">
        <v>551</v>
      </c>
      <c r="H32" s="338">
        <f>SUM(H33:H34)</f>
        <v>0</v>
      </c>
      <c r="I32" s="338">
        <f>SUM(I33:I34)</f>
        <v>0</v>
      </c>
      <c r="J32" s="64" t="s">
        <v>742</v>
      </c>
      <c r="K32" s="305"/>
      <c r="L32" s="65"/>
      <c r="M32" s="65"/>
      <c r="R32" s="65"/>
      <c r="U32" s="306"/>
      <c r="AA32" s="7"/>
      <c r="AB32" s="7"/>
      <c r="AC32" s="7"/>
      <c r="AD32" s="7"/>
      <c r="AE32" s="7"/>
      <c r="AF32" s="60">
        <v>34</v>
      </c>
    </row>
    <row r="33" spans="1:32" s="65" customFormat="1" ht="1.1499999999999999" customHeight="1">
      <c r="A33" s="310"/>
      <c r="D33" s="310"/>
      <c r="E33" s="313" t="str">
        <f>E32&amp;".0"</f>
        <v>2.8.0</v>
      </c>
      <c r="F33" s="573"/>
      <c r="G33" s="313"/>
      <c r="H33" s="574"/>
      <c r="I33" s="574"/>
      <c r="J33" s="575"/>
      <c r="AF33" s="65">
        <v>1</v>
      </c>
    </row>
    <row r="34" spans="1:32" s="60" customFormat="1" ht="19.899999999999999" customHeight="1">
      <c r="A34" s="569"/>
      <c r="C34" s="65"/>
      <c r="D34" s="74"/>
      <c r="E34" s="330"/>
      <c r="F34" s="897" t="s">
        <v>576</v>
      </c>
      <c r="G34" s="331"/>
      <c r="H34" s="332"/>
      <c r="I34" s="332"/>
      <c r="J34" s="169" t="s">
        <v>743</v>
      </c>
      <c r="K34" s="305"/>
      <c r="L34" s="65"/>
      <c r="M34" s="65"/>
      <c r="R34" s="65"/>
      <c r="U34" s="306"/>
      <c r="AA34" s="7"/>
      <c r="AB34" s="7"/>
      <c r="AC34" s="7"/>
      <c r="AD34" s="7"/>
      <c r="AE34" s="7"/>
      <c r="AF34" s="60">
        <v>19</v>
      </c>
    </row>
    <row r="35" spans="1:32" ht="60" customHeight="1">
      <c r="D35" s="53"/>
      <c r="E35" s="898" t="s">
        <v>744</v>
      </c>
      <c r="F35" s="320" t="s">
        <v>745</v>
      </c>
      <c r="G35" s="392" t="s">
        <v>551</v>
      </c>
      <c r="H35" s="899"/>
      <c r="I35" s="899"/>
      <c r="J35" s="64" t="s">
        <v>746</v>
      </c>
      <c r="K35" s="305"/>
      <c r="AF35" s="10">
        <v>57</v>
      </c>
    </row>
    <row r="36" spans="1:32" s="60" customFormat="1" ht="24" customHeight="1">
      <c r="A36" s="571" t="s">
        <v>577</v>
      </c>
      <c r="C36" s="65"/>
      <c r="D36" s="53"/>
      <c r="E36" s="896" t="s">
        <v>88</v>
      </c>
      <c r="F36" s="150" t="s">
        <v>747</v>
      </c>
      <c r="G36" s="392" t="s">
        <v>551</v>
      </c>
      <c r="H36" s="318"/>
      <c r="I36" s="318"/>
      <c r="J36" s="64" t="s">
        <v>748</v>
      </c>
      <c r="K36" s="305"/>
      <c r="L36" s="65"/>
      <c r="M36" s="65"/>
      <c r="R36" s="65"/>
      <c r="U36" s="306"/>
      <c r="AA36" s="7"/>
      <c r="AB36" s="7"/>
      <c r="AC36" s="7"/>
      <c r="AD36" s="7"/>
      <c r="AE36" s="7"/>
      <c r="AF36" s="60">
        <v>23</v>
      </c>
    </row>
    <row r="37" spans="1:32" s="60" customFormat="1" ht="35.65" customHeight="1">
      <c r="A37" s="571"/>
      <c r="C37" s="65"/>
      <c r="D37" s="53"/>
      <c r="E37" s="896" t="s">
        <v>324</v>
      </c>
      <c r="F37" s="320" t="s">
        <v>749</v>
      </c>
      <c r="G37" s="392"/>
      <c r="H37" s="318"/>
      <c r="I37" s="318"/>
      <c r="J37" s="64"/>
      <c r="K37" s="305"/>
      <c r="L37" s="65"/>
      <c r="M37" s="65"/>
      <c r="R37" s="65"/>
      <c r="U37" s="306"/>
      <c r="AA37" s="7"/>
      <c r="AB37" s="7"/>
      <c r="AC37" s="7"/>
      <c r="AD37" s="7"/>
      <c r="AE37" s="7"/>
      <c r="AF37" s="60">
        <v>34</v>
      </c>
    </row>
    <row r="38" spans="1:32" s="60" customFormat="1" ht="19.899999999999999" customHeight="1">
      <c r="A38" s="569"/>
      <c r="C38" s="65"/>
      <c r="D38" s="334"/>
      <c r="E38" s="896" t="s">
        <v>89</v>
      </c>
      <c r="F38" s="150" t="s">
        <v>750</v>
      </c>
      <c r="G38" s="392" t="s">
        <v>551</v>
      </c>
      <c r="H38" s="318"/>
      <c r="I38" s="318"/>
      <c r="J38" s="64" t="s">
        <v>751</v>
      </c>
      <c r="K38" s="305"/>
      <c r="L38" s="65"/>
      <c r="M38" s="65"/>
      <c r="R38" s="65"/>
      <c r="U38" s="306"/>
      <c r="AA38" s="7"/>
      <c r="AB38" s="7"/>
      <c r="AC38" s="7"/>
      <c r="AD38" s="7"/>
      <c r="AE38" s="7"/>
      <c r="AF38" s="60">
        <v>19</v>
      </c>
    </row>
    <row r="39" spans="1:32" s="60" customFormat="1" ht="24" customHeight="1">
      <c r="A39" s="569"/>
      <c r="C39" s="65"/>
      <c r="D39" s="334"/>
      <c r="E39" s="896" t="s">
        <v>752</v>
      </c>
      <c r="F39" s="320" t="s">
        <v>753</v>
      </c>
      <c r="G39" s="392" t="s">
        <v>551</v>
      </c>
      <c r="H39" s="318"/>
      <c r="I39" s="318"/>
      <c r="J39" s="64" t="s">
        <v>754</v>
      </c>
      <c r="K39" s="305"/>
      <c r="L39" s="65"/>
      <c r="M39" s="65"/>
      <c r="R39" s="65"/>
      <c r="U39" s="306"/>
      <c r="AA39" s="7"/>
      <c r="AB39" s="7"/>
      <c r="AC39" s="7"/>
      <c r="AD39" s="7"/>
      <c r="AE39" s="7"/>
      <c r="AF39" s="60">
        <v>23</v>
      </c>
    </row>
    <row r="40" spans="1:32" s="60" customFormat="1" ht="24" customHeight="1">
      <c r="A40" s="569"/>
      <c r="C40" s="65"/>
      <c r="D40" s="53"/>
      <c r="E40" s="896" t="s">
        <v>755</v>
      </c>
      <c r="F40" s="335" t="s">
        <v>756</v>
      </c>
      <c r="G40" s="392" t="s">
        <v>551</v>
      </c>
      <c r="H40" s="318"/>
      <c r="I40" s="318"/>
      <c r="J40" s="64" t="s">
        <v>757</v>
      </c>
      <c r="K40" s="305"/>
      <c r="L40" s="65"/>
      <c r="M40" s="65"/>
      <c r="R40" s="65"/>
      <c r="U40" s="306"/>
      <c r="AA40" s="7"/>
      <c r="AB40" s="7"/>
      <c r="AC40" s="7"/>
      <c r="AD40" s="7"/>
      <c r="AE40" s="7"/>
      <c r="AF40" s="60">
        <v>23</v>
      </c>
    </row>
    <row r="41" spans="1:32" s="60" customFormat="1" ht="24" customHeight="1">
      <c r="A41" s="569"/>
      <c r="C41" s="65"/>
      <c r="D41" s="53"/>
      <c r="E41" s="896" t="s">
        <v>758</v>
      </c>
      <c r="F41" s="335" t="s">
        <v>759</v>
      </c>
      <c r="G41" s="392" t="s">
        <v>551</v>
      </c>
      <c r="H41" s="318"/>
      <c r="I41" s="318"/>
      <c r="J41" s="64" t="s">
        <v>760</v>
      </c>
      <c r="K41" s="305"/>
      <c r="L41" s="65"/>
      <c r="M41" s="65"/>
      <c r="R41" s="65"/>
      <c r="U41" s="306"/>
      <c r="AA41" s="7"/>
      <c r="AB41" s="7"/>
      <c r="AC41" s="7"/>
      <c r="AD41" s="7"/>
      <c r="AE41" s="7"/>
      <c r="AF41" s="60">
        <v>23</v>
      </c>
    </row>
    <row r="42" spans="1:32" s="60" customFormat="1" ht="24" customHeight="1">
      <c r="A42" s="569"/>
      <c r="C42" s="65"/>
      <c r="D42" s="53"/>
      <c r="E42" s="896" t="s">
        <v>761</v>
      </c>
      <c r="F42" s="335" t="s">
        <v>762</v>
      </c>
      <c r="G42" s="392" t="s">
        <v>551</v>
      </c>
      <c r="H42" s="318"/>
      <c r="I42" s="318"/>
      <c r="J42" s="64" t="s">
        <v>763</v>
      </c>
      <c r="K42" s="305"/>
      <c r="L42" s="65"/>
      <c r="M42" s="65"/>
      <c r="R42" s="65"/>
      <c r="U42" s="306"/>
      <c r="AA42" s="7"/>
      <c r="AB42" s="7"/>
      <c r="AC42" s="7"/>
      <c r="AD42" s="7"/>
      <c r="AE42" s="7"/>
      <c r="AF42" s="60">
        <v>23</v>
      </c>
    </row>
    <row r="43" spans="1:32" s="60" customFormat="1" ht="35.65" customHeight="1">
      <c r="A43" s="569"/>
      <c r="C43" s="65" t="s">
        <v>587</v>
      </c>
      <c r="D43" s="53"/>
      <c r="E43" s="896" t="s">
        <v>109</v>
      </c>
      <c r="F43" s="150" t="s">
        <v>628</v>
      </c>
      <c r="G43" s="40" t="s">
        <v>764</v>
      </c>
      <c r="H43" s="225"/>
      <c r="I43" s="225"/>
      <c r="J43" s="64" t="s">
        <v>765</v>
      </c>
      <c r="K43" s="305"/>
      <c r="L43" s="65"/>
      <c r="M43" s="65"/>
      <c r="R43" s="65"/>
      <c r="U43" s="306"/>
      <c r="AA43" s="7"/>
      <c r="AB43" s="7"/>
      <c r="AC43" s="7"/>
      <c r="AD43" s="7"/>
      <c r="AE43" s="7"/>
      <c r="AF43" s="60">
        <v>34</v>
      </c>
    </row>
    <row r="44" spans="1:32" s="60" customFormat="1" ht="35.65" customHeight="1">
      <c r="A44" s="569"/>
      <c r="C44" s="65"/>
      <c r="D44" s="53"/>
      <c r="E44" s="896" t="s">
        <v>90</v>
      </c>
      <c r="F44" s="150" t="s">
        <v>766</v>
      </c>
      <c r="G44" s="392" t="s">
        <v>767</v>
      </c>
      <c r="H44" s="307"/>
      <c r="I44" s="307"/>
      <c r="J44" s="64" t="s">
        <v>768</v>
      </c>
      <c r="K44" s="305"/>
      <c r="L44" s="65"/>
      <c r="M44" s="65"/>
      <c r="R44" s="65"/>
      <c r="U44" s="306"/>
      <c r="AA44" s="7"/>
      <c r="AB44" s="7"/>
      <c r="AC44" s="7"/>
      <c r="AD44" s="7"/>
      <c r="AE44" s="7"/>
      <c r="AF44" s="60">
        <v>34</v>
      </c>
    </row>
    <row r="45" spans="1:32" s="60" customFormat="1" ht="24" customHeight="1">
      <c r="A45" s="569"/>
      <c r="C45" s="65"/>
      <c r="D45" s="53"/>
      <c r="E45" s="896" t="s">
        <v>91</v>
      </c>
      <c r="F45" s="150" t="s">
        <v>769</v>
      </c>
      <c r="G45" s="392" t="s">
        <v>770</v>
      </c>
      <c r="H45" s="307"/>
      <c r="I45" s="307"/>
      <c r="J45" s="64" t="s">
        <v>771</v>
      </c>
      <c r="K45" s="305"/>
      <c r="L45" s="65"/>
      <c r="M45" s="65"/>
      <c r="R45" s="65"/>
      <c r="U45" s="306"/>
      <c r="AA45" s="7"/>
      <c r="AB45" s="7"/>
      <c r="AC45" s="7"/>
      <c r="AD45" s="7"/>
      <c r="AE45" s="7"/>
      <c r="AF45" s="60">
        <v>23</v>
      </c>
    </row>
    <row r="46" spans="1:32" s="60" customFormat="1" ht="19.899999999999999" customHeight="1">
      <c r="A46" s="569"/>
      <c r="C46" s="65"/>
      <c r="D46" s="53"/>
      <c r="E46" s="896" t="s">
        <v>110</v>
      </c>
      <c r="F46" s="150" t="s">
        <v>772</v>
      </c>
      <c r="G46" s="392" t="s">
        <v>589</v>
      </c>
      <c r="H46" s="336"/>
      <c r="I46" s="336"/>
      <c r="J46" s="64"/>
      <c r="K46" s="305"/>
      <c r="L46" s="65"/>
      <c r="M46" s="65"/>
      <c r="R46" s="65"/>
      <c r="U46" s="306"/>
      <c r="AA46" s="7"/>
      <c r="AB46" s="7"/>
      <c r="AC46" s="7"/>
      <c r="AD46" s="7"/>
      <c r="AE46" s="7"/>
      <c r="AF46" s="60">
        <v>19</v>
      </c>
    </row>
    <row r="47" spans="1:32" ht="11.45" customHeight="1">
      <c r="D47" s="53"/>
      <c r="AF47" s="10">
        <v>11</v>
      </c>
    </row>
    <row r="48" spans="1:32" s="200" customFormat="1" ht="11.45" customHeight="1">
      <c r="A48" s="569"/>
      <c r="B48" s="65"/>
      <c r="C48" s="65"/>
      <c r="K48" s="60"/>
      <c r="L48" s="65"/>
      <c r="M48" s="65"/>
      <c r="N48" s="60"/>
      <c r="O48" s="60"/>
      <c r="P48" s="60"/>
      <c r="Q48" s="60"/>
      <c r="R48" s="65"/>
      <c r="S48" s="60"/>
      <c r="T48" s="60"/>
      <c r="U48" s="306"/>
      <c r="V48" s="60"/>
      <c r="W48" s="60"/>
      <c r="X48" s="60"/>
      <c r="Y48" s="60"/>
      <c r="Z48" s="60"/>
      <c r="AA48" s="7"/>
      <c r="AB48" s="139"/>
      <c r="AC48" s="139"/>
      <c r="AD48" s="139"/>
      <c r="AE48" s="139"/>
      <c r="AF48" s="200">
        <v>11</v>
      </c>
    </row>
    <row r="49" spans="1:32" s="200" customFormat="1" ht="11.45" customHeight="1">
      <c r="A49" s="569"/>
      <c r="B49" s="65"/>
      <c r="C49" s="65"/>
      <c r="K49" s="60"/>
      <c r="L49" s="65"/>
      <c r="M49" s="65"/>
      <c r="N49" s="60"/>
      <c r="O49" s="60"/>
      <c r="P49" s="60"/>
      <c r="Q49" s="60"/>
      <c r="R49" s="65"/>
      <c r="S49" s="60"/>
      <c r="T49" s="60"/>
      <c r="U49" s="306"/>
      <c r="V49" s="60"/>
      <c r="W49" s="60"/>
      <c r="X49" s="60"/>
      <c r="Y49" s="60"/>
      <c r="Z49" s="60"/>
      <c r="AA49" s="7"/>
      <c r="AB49" s="139"/>
      <c r="AC49" s="139"/>
      <c r="AD49" s="139"/>
      <c r="AE49" s="139"/>
      <c r="AF49" s="200">
        <v>11</v>
      </c>
    </row>
    <row r="50" spans="1:32" s="200" customFormat="1" ht="11.45" customHeight="1">
      <c r="A50" s="569"/>
      <c r="B50" s="65"/>
      <c r="C50" s="65"/>
      <c r="H50" s="139"/>
      <c r="I50" s="139"/>
      <c r="K50" s="60"/>
      <c r="L50" s="65"/>
      <c r="M50" s="65"/>
      <c r="N50" s="60"/>
      <c r="O50" s="60"/>
      <c r="P50" s="60"/>
      <c r="Q50" s="60"/>
      <c r="R50" s="65"/>
      <c r="S50" s="60"/>
      <c r="T50" s="60"/>
      <c r="U50" s="306"/>
      <c r="V50" s="60"/>
      <c r="W50" s="60"/>
      <c r="X50" s="60"/>
      <c r="Y50" s="60"/>
      <c r="Z50" s="60"/>
      <c r="AA50" s="7"/>
      <c r="AB50" s="139"/>
      <c r="AC50" s="139"/>
      <c r="AD50" s="139"/>
      <c r="AE50" s="139"/>
      <c r="AF50" s="200">
        <v>11</v>
      </c>
    </row>
    <row r="51" spans="1:32" s="200" customFormat="1" ht="11.45" customHeight="1">
      <c r="A51" s="569"/>
      <c r="B51" s="65"/>
      <c r="C51" s="65"/>
      <c r="K51" s="60"/>
      <c r="L51" s="65"/>
      <c r="M51" s="65"/>
      <c r="N51" s="60"/>
      <c r="O51" s="60"/>
      <c r="P51" s="60"/>
      <c r="Q51" s="60"/>
      <c r="R51" s="65"/>
      <c r="S51" s="60"/>
      <c r="T51" s="60"/>
      <c r="U51" s="306"/>
      <c r="V51" s="60"/>
      <c r="W51" s="60"/>
      <c r="X51" s="60"/>
      <c r="Y51" s="60"/>
      <c r="Z51" s="60"/>
      <c r="AA51" s="7"/>
      <c r="AB51" s="139"/>
      <c r="AC51" s="139"/>
      <c r="AD51" s="139"/>
      <c r="AE51" s="139"/>
      <c r="AF51" s="200">
        <v>11</v>
      </c>
    </row>
    <row r="52" spans="1:32" s="200" customFormat="1" ht="11.45" customHeight="1">
      <c r="A52" s="569"/>
      <c r="B52" s="65"/>
      <c r="C52" s="65"/>
      <c r="K52" s="60"/>
      <c r="L52" s="65"/>
      <c r="M52" s="65"/>
      <c r="N52" s="60"/>
      <c r="O52" s="60"/>
      <c r="P52" s="60"/>
      <c r="Q52" s="60"/>
      <c r="R52" s="65"/>
      <c r="S52" s="60"/>
      <c r="T52" s="60"/>
      <c r="U52" s="306"/>
      <c r="V52" s="60"/>
      <c r="W52" s="60"/>
      <c r="X52" s="60"/>
      <c r="Y52" s="60"/>
      <c r="Z52" s="60"/>
      <c r="AA52" s="7"/>
      <c r="AB52" s="139"/>
      <c r="AC52" s="139"/>
      <c r="AD52" s="139"/>
      <c r="AE52" s="139"/>
      <c r="AF52" s="200">
        <v>11</v>
      </c>
    </row>
    <row r="53" spans="1:32" s="200" customFormat="1" ht="11.45" customHeight="1">
      <c r="A53" s="569"/>
      <c r="B53" s="65"/>
      <c r="C53" s="65"/>
      <c r="K53" s="60"/>
      <c r="L53" s="65"/>
      <c r="M53" s="65"/>
      <c r="N53" s="60"/>
      <c r="O53" s="60"/>
      <c r="P53" s="60"/>
      <c r="Q53" s="60"/>
      <c r="R53" s="65"/>
      <c r="S53" s="60"/>
      <c r="T53" s="60"/>
      <c r="U53" s="306"/>
      <c r="V53" s="60"/>
      <c r="W53" s="60"/>
      <c r="X53" s="60"/>
      <c r="Y53" s="60"/>
      <c r="Z53" s="60"/>
      <c r="AA53" s="7"/>
      <c r="AB53" s="139"/>
      <c r="AC53" s="139"/>
      <c r="AD53" s="139"/>
      <c r="AE53" s="139"/>
      <c r="AF53" s="200">
        <v>11</v>
      </c>
    </row>
    <row r="54" spans="1:32" s="200" customFormat="1" ht="11.45" customHeight="1">
      <c r="A54" s="569"/>
      <c r="B54" s="65"/>
      <c r="C54" s="65"/>
      <c r="K54" s="60"/>
      <c r="L54" s="65"/>
      <c r="M54" s="65"/>
      <c r="N54" s="60"/>
      <c r="O54" s="60"/>
      <c r="P54" s="60"/>
      <c r="Q54" s="60"/>
      <c r="R54" s="65"/>
      <c r="S54" s="60"/>
      <c r="T54" s="60"/>
      <c r="U54" s="306"/>
      <c r="V54" s="60"/>
      <c r="W54" s="60"/>
      <c r="X54" s="60"/>
      <c r="Y54" s="60"/>
      <c r="Z54" s="60"/>
      <c r="AA54" s="7"/>
      <c r="AB54" s="139"/>
      <c r="AC54" s="139"/>
      <c r="AD54" s="139"/>
      <c r="AE54" s="139"/>
      <c r="AF54" s="200">
        <v>11</v>
      </c>
    </row>
    <row r="55" spans="1:32" s="200" customFormat="1" ht="11.45" customHeight="1">
      <c r="A55" s="569"/>
      <c r="B55" s="65"/>
      <c r="C55" s="65"/>
      <c r="K55" s="60"/>
      <c r="L55" s="65"/>
      <c r="M55" s="65"/>
      <c r="N55" s="60"/>
      <c r="O55" s="60"/>
      <c r="P55" s="60"/>
      <c r="Q55" s="60"/>
      <c r="R55" s="65"/>
      <c r="S55" s="60"/>
      <c r="T55" s="60"/>
      <c r="U55" s="306"/>
      <c r="V55" s="60"/>
      <c r="W55" s="60"/>
      <c r="X55" s="60"/>
      <c r="Y55" s="60"/>
      <c r="Z55" s="60"/>
      <c r="AA55" s="7"/>
      <c r="AB55" s="139"/>
      <c r="AC55" s="139"/>
      <c r="AD55" s="139"/>
      <c r="AE55" s="139"/>
      <c r="AF55" s="200">
        <v>11</v>
      </c>
    </row>
    <row r="56" spans="1:32" s="200" customFormat="1" ht="11.45" customHeight="1">
      <c r="A56" s="569"/>
      <c r="B56" s="65"/>
      <c r="C56" s="65"/>
      <c r="K56" s="60"/>
      <c r="L56" s="65"/>
      <c r="M56" s="65"/>
      <c r="N56" s="60"/>
      <c r="O56" s="60"/>
      <c r="P56" s="60"/>
      <c r="Q56" s="60"/>
      <c r="R56" s="65"/>
      <c r="S56" s="60"/>
      <c r="T56" s="60"/>
      <c r="U56" s="306"/>
      <c r="V56" s="60"/>
      <c r="W56" s="60"/>
      <c r="X56" s="60"/>
      <c r="Y56" s="60"/>
      <c r="Z56" s="60"/>
      <c r="AA56" s="7"/>
      <c r="AB56" s="139"/>
      <c r="AC56" s="139"/>
      <c r="AD56" s="139"/>
      <c r="AE56" s="139"/>
      <c r="AF56" s="200">
        <v>11</v>
      </c>
    </row>
    <row r="57" spans="1:32" s="200" customFormat="1" ht="11.45" customHeight="1">
      <c r="A57" s="569"/>
      <c r="B57" s="65"/>
      <c r="C57" s="65"/>
      <c r="K57" s="60"/>
      <c r="L57" s="65"/>
      <c r="M57" s="65"/>
      <c r="N57" s="60"/>
      <c r="O57" s="60"/>
      <c r="P57" s="60"/>
      <c r="Q57" s="60"/>
      <c r="R57" s="65"/>
      <c r="S57" s="60"/>
      <c r="T57" s="60"/>
      <c r="U57" s="306"/>
      <c r="V57" s="60"/>
      <c r="W57" s="60"/>
      <c r="X57" s="60"/>
      <c r="Y57" s="60"/>
      <c r="Z57" s="60"/>
      <c r="AA57" s="7"/>
      <c r="AB57" s="139"/>
      <c r="AC57" s="139"/>
      <c r="AD57" s="139"/>
      <c r="AE57" s="139"/>
      <c r="AF57" s="200">
        <v>11</v>
      </c>
    </row>
    <row r="58" spans="1:32" s="200" customFormat="1" ht="11.45" customHeight="1">
      <c r="A58" s="569"/>
      <c r="B58" s="65"/>
      <c r="C58" s="65"/>
      <c r="K58" s="60"/>
      <c r="L58" s="65"/>
      <c r="M58" s="65"/>
      <c r="N58" s="60"/>
      <c r="O58" s="60"/>
      <c r="P58" s="60"/>
      <c r="Q58" s="60"/>
      <c r="R58" s="65"/>
      <c r="S58" s="60"/>
      <c r="T58" s="60"/>
      <c r="U58" s="306"/>
      <c r="V58" s="60"/>
      <c r="W58" s="60"/>
      <c r="X58" s="60"/>
      <c r="Y58" s="60"/>
      <c r="Z58" s="60"/>
      <c r="AA58" s="7"/>
      <c r="AB58" s="139"/>
      <c r="AC58" s="139"/>
      <c r="AD58" s="139"/>
      <c r="AE58" s="139"/>
      <c r="AF58" s="200">
        <v>11</v>
      </c>
    </row>
    <row r="59" spans="1:32" s="200" customFormat="1" ht="11.45" customHeight="1">
      <c r="A59" s="569"/>
      <c r="B59" s="65"/>
      <c r="C59" s="65"/>
      <c r="K59" s="60"/>
      <c r="L59" s="65"/>
      <c r="M59" s="65"/>
      <c r="N59" s="60"/>
      <c r="O59" s="60"/>
      <c r="P59" s="60"/>
      <c r="Q59" s="60"/>
      <c r="R59" s="65"/>
      <c r="S59" s="60"/>
      <c r="T59" s="60"/>
      <c r="U59" s="306"/>
      <c r="V59" s="60"/>
      <c r="W59" s="60"/>
      <c r="X59" s="60"/>
      <c r="Y59" s="60"/>
      <c r="Z59" s="60"/>
      <c r="AA59" s="7"/>
      <c r="AB59" s="139"/>
      <c r="AC59" s="139"/>
      <c r="AD59" s="139"/>
      <c r="AE59" s="139"/>
      <c r="AF59" s="200">
        <v>11</v>
      </c>
    </row>
    <row r="60" spans="1:32" s="200" customFormat="1" ht="11.45" customHeight="1">
      <c r="A60" s="569"/>
      <c r="B60" s="65"/>
      <c r="C60" s="65"/>
      <c r="K60" s="60"/>
      <c r="L60" s="65"/>
      <c r="M60" s="65"/>
      <c r="N60" s="60"/>
      <c r="O60" s="60"/>
      <c r="P60" s="60"/>
      <c r="Q60" s="60"/>
      <c r="R60" s="65"/>
      <c r="S60" s="60"/>
      <c r="T60" s="60"/>
      <c r="U60" s="306"/>
      <c r="V60" s="60"/>
      <c r="W60" s="60"/>
      <c r="X60" s="60"/>
      <c r="Y60" s="60"/>
      <c r="Z60" s="60"/>
      <c r="AA60" s="7"/>
      <c r="AB60" s="139"/>
      <c r="AC60" s="139"/>
      <c r="AD60" s="139"/>
      <c r="AE60" s="139"/>
      <c r="AF60" s="200">
        <v>11</v>
      </c>
    </row>
    <row r="61" spans="1:32" s="200" customFormat="1" ht="11.45" customHeight="1">
      <c r="A61" s="569"/>
      <c r="B61" s="65"/>
      <c r="C61" s="65"/>
      <c r="K61" s="60"/>
      <c r="L61" s="65"/>
      <c r="M61" s="65"/>
      <c r="N61" s="60"/>
      <c r="O61" s="60"/>
      <c r="P61" s="60"/>
      <c r="Q61" s="60"/>
      <c r="R61" s="65"/>
      <c r="S61" s="60"/>
      <c r="T61" s="60"/>
      <c r="U61" s="306"/>
      <c r="V61" s="60"/>
      <c r="W61" s="60"/>
      <c r="X61" s="60"/>
      <c r="Y61" s="60"/>
      <c r="Z61" s="60"/>
      <c r="AA61" s="7"/>
      <c r="AB61" s="139"/>
      <c r="AC61" s="139"/>
      <c r="AD61" s="139"/>
      <c r="AE61" s="139"/>
      <c r="AF61" s="200">
        <v>11</v>
      </c>
    </row>
    <row r="62" spans="1:32" s="200" customFormat="1" ht="11.45" customHeight="1">
      <c r="A62" s="569"/>
      <c r="B62" s="65"/>
      <c r="C62" s="65"/>
      <c r="K62" s="60"/>
      <c r="L62" s="65"/>
      <c r="M62" s="65"/>
      <c r="N62" s="60"/>
      <c r="O62" s="60"/>
      <c r="P62" s="60"/>
      <c r="Q62" s="60"/>
      <c r="R62" s="65"/>
      <c r="S62" s="60"/>
      <c r="T62" s="60"/>
      <c r="U62" s="306"/>
      <c r="V62" s="60"/>
      <c r="W62" s="60"/>
      <c r="X62" s="60"/>
      <c r="Y62" s="60"/>
      <c r="Z62" s="60"/>
      <c r="AA62" s="7"/>
      <c r="AB62" s="139"/>
      <c r="AC62" s="139"/>
      <c r="AD62" s="139"/>
      <c r="AE62" s="139"/>
      <c r="AF62" s="200">
        <v>11</v>
      </c>
    </row>
    <row r="63" spans="1:32" s="200" customFormat="1" ht="11.45" customHeight="1">
      <c r="A63" s="569"/>
      <c r="B63" s="65"/>
      <c r="C63" s="65"/>
      <c r="K63" s="60"/>
      <c r="L63" s="65"/>
      <c r="M63" s="65"/>
      <c r="N63" s="60"/>
      <c r="O63" s="60"/>
      <c r="P63" s="60"/>
      <c r="Q63" s="60"/>
      <c r="R63" s="65"/>
      <c r="S63" s="60"/>
      <c r="T63" s="60"/>
      <c r="U63" s="306"/>
      <c r="V63" s="60"/>
      <c r="W63" s="60"/>
      <c r="X63" s="60"/>
      <c r="Y63" s="60"/>
      <c r="Z63" s="60"/>
      <c r="AA63" s="7"/>
      <c r="AB63" s="139"/>
      <c r="AC63" s="139"/>
      <c r="AD63" s="139"/>
      <c r="AE63" s="139"/>
      <c r="AF63" s="200">
        <v>11</v>
      </c>
    </row>
    <row r="64" spans="1:32" s="200" customFormat="1" ht="11.45" customHeight="1">
      <c r="A64" s="569"/>
      <c r="B64" s="65"/>
      <c r="C64" s="65"/>
      <c r="K64" s="60"/>
      <c r="L64" s="65"/>
      <c r="M64" s="65"/>
      <c r="N64" s="60"/>
      <c r="O64" s="60"/>
      <c r="P64" s="60"/>
      <c r="Q64" s="60"/>
      <c r="R64" s="65"/>
      <c r="S64" s="60"/>
      <c r="T64" s="60"/>
      <c r="U64" s="306"/>
      <c r="V64" s="60"/>
      <c r="W64" s="60"/>
      <c r="X64" s="60"/>
      <c r="Y64" s="60"/>
      <c r="Z64" s="60"/>
      <c r="AA64" s="7"/>
      <c r="AB64" s="139"/>
      <c r="AC64" s="139"/>
      <c r="AD64" s="139"/>
      <c r="AE64" s="139"/>
      <c r="AF64" s="200">
        <v>11</v>
      </c>
    </row>
    <row r="65" spans="1:32" s="200" customFormat="1" ht="11.45" customHeight="1">
      <c r="A65" s="569"/>
      <c r="B65" s="65"/>
      <c r="C65" s="65"/>
      <c r="K65" s="60"/>
      <c r="L65" s="65"/>
      <c r="M65" s="65"/>
      <c r="N65" s="60"/>
      <c r="O65" s="60"/>
      <c r="P65" s="60"/>
      <c r="Q65" s="60"/>
      <c r="R65" s="65"/>
      <c r="S65" s="60"/>
      <c r="T65" s="60"/>
      <c r="U65" s="306"/>
      <c r="V65" s="60"/>
      <c r="W65" s="60"/>
      <c r="X65" s="60"/>
      <c r="Y65" s="60"/>
      <c r="Z65" s="60"/>
      <c r="AA65" s="7"/>
      <c r="AB65" s="139"/>
      <c r="AC65" s="139"/>
      <c r="AD65" s="139"/>
      <c r="AE65" s="139"/>
      <c r="AF65" s="200">
        <v>11</v>
      </c>
    </row>
    <row r="66" spans="1:32" s="200" customFormat="1" ht="11.45" customHeight="1">
      <c r="A66" s="569"/>
      <c r="B66" s="65"/>
      <c r="C66" s="65"/>
      <c r="K66" s="60"/>
      <c r="L66" s="65"/>
      <c r="M66" s="65"/>
      <c r="N66" s="60"/>
      <c r="O66" s="60"/>
      <c r="P66" s="60"/>
      <c r="Q66" s="60"/>
      <c r="R66" s="65"/>
      <c r="S66" s="60"/>
      <c r="T66" s="60"/>
      <c r="U66" s="306"/>
      <c r="V66" s="60"/>
      <c r="W66" s="60"/>
      <c r="X66" s="60"/>
      <c r="Y66" s="60"/>
      <c r="Z66" s="60"/>
      <c r="AA66" s="7"/>
      <c r="AB66" s="139"/>
      <c r="AC66" s="139"/>
      <c r="AD66" s="139"/>
      <c r="AE66" s="139"/>
      <c r="AF66" s="200">
        <v>11</v>
      </c>
    </row>
    <row r="67" spans="1:32" s="200" customFormat="1" ht="11.45" customHeight="1">
      <c r="A67" s="569"/>
      <c r="B67" s="65"/>
      <c r="C67" s="65"/>
      <c r="K67" s="60"/>
      <c r="L67" s="65"/>
      <c r="M67" s="65"/>
      <c r="N67" s="60"/>
      <c r="O67" s="60"/>
      <c r="P67" s="60"/>
      <c r="Q67" s="60"/>
      <c r="R67" s="65"/>
      <c r="S67" s="60"/>
      <c r="T67" s="60"/>
      <c r="U67" s="306"/>
      <c r="V67" s="60"/>
      <c r="W67" s="60"/>
      <c r="X67" s="60"/>
      <c r="Y67" s="60"/>
      <c r="Z67" s="60"/>
      <c r="AA67" s="7"/>
      <c r="AB67" s="139"/>
      <c r="AC67" s="139"/>
      <c r="AD67" s="139"/>
      <c r="AE67" s="139"/>
      <c r="AF67" s="200">
        <v>11</v>
      </c>
    </row>
    <row r="68" spans="1:32" s="200" customFormat="1" ht="11.45" customHeight="1">
      <c r="A68" s="569"/>
      <c r="B68" s="65"/>
      <c r="C68" s="65"/>
      <c r="K68" s="60"/>
      <c r="L68" s="65"/>
      <c r="M68" s="65"/>
      <c r="N68" s="60"/>
      <c r="O68" s="60"/>
      <c r="P68" s="60"/>
      <c r="Q68" s="60"/>
      <c r="R68" s="65"/>
      <c r="S68" s="60"/>
      <c r="T68" s="60"/>
      <c r="U68" s="306"/>
      <c r="V68" s="60"/>
      <c r="W68" s="60"/>
      <c r="X68" s="60"/>
      <c r="Y68" s="60"/>
      <c r="Z68" s="60"/>
      <c r="AA68" s="7"/>
      <c r="AB68" s="139"/>
      <c r="AC68" s="139"/>
      <c r="AD68" s="139"/>
      <c r="AE68" s="139"/>
      <c r="AF68" s="200">
        <v>11</v>
      </c>
    </row>
    <row r="69" spans="1:32" s="200" customFormat="1" ht="11.45" customHeight="1">
      <c r="A69" s="569"/>
      <c r="B69" s="65"/>
      <c r="C69" s="65"/>
      <c r="K69" s="60"/>
      <c r="L69" s="65"/>
      <c r="M69" s="65"/>
      <c r="N69" s="60"/>
      <c r="O69" s="60"/>
      <c r="P69" s="60"/>
      <c r="Q69" s="60"/>
      <c r="R69" s="65"/>
      <c r="S69" s="60"/>
      <c r="T69" s="60"/>
      <c r="U69" s="306"/>
      <c r="V69" s="60"/>
      <c r="W69" s="60"/>
      <c r="X69" s="60"/>
      <c r="Y69" s="60"/>
      <c r="Z69" s="60"/>
      <c r="AA69" s="7"/>
      <c r="AB69" s="139"/>
      <c r="AC69" s="139"/>
      <c r="AD69" s="139"/>
      <c r="AE69" s="139"/>
      <c r="AF69" s="200">
        <v>11</v>
      </c>
    </row>
    <row r="70" spans="1:32" s="200" customFormat="1" ht="11.45" customHeight="1">
      <c r="A70" s="569"/>
      <c r="B70" s="65"/>
      <c r="C70" s="65"/>
      <c r="K70" s="60"/>
      <c r="L70" s="65"/>
      <c r="M70" s="65"/>
      <c r="N70" s="60"/>
      <c r="O70" s="60"/>
      <c r="P70" s="60"/>
      <c r="Q70" s="60"/>
      <c r="R70" s="65"/>
      <c r="S70" s="60"/>
      <c r="T70" s="60"/>
      <c r="U70" s="306"/>
      <c r="V70" s="60"/>
      <c r="W70" s="60"/>
      <c r="X70" s="60"/>
      <c r="Y70" s="60"/>
      <c r="Z70" s="60"/>
      <c r="AA70" s="7"/>
      <c r="AB70" s="139"/>
      <c r="AC70" s="139"/>
      <c r="AD70" s="139"/>
      <c r="AE70" s="139"/>
      <c r="AF70" s="200">
        <v>11</v>
      </c>
    </row>
    <row r="71" spans="1:32" s="200" customFormat="1" ht="11.45" customHeight="1">
      <c r="A71" s="569"/>
      <c r="B71" s="65"/>
      <c r="C71" s="65"/>
      <c r="K71" s="60"/>
      <c r="L71" s="65"/>
      <c r="M71" s="65"/>
      <c r="N71" s="60"/>
      <c r="O71" s="60"/>
      <c r="P71" s="60"/>
      <c r="Q71" s="60"/>
      <c r="R71" s="65"/>
      <c r="S71" s="60"/>
      <c r="T71" s="60"/>
      <c r="U71" s="306"/>
      <c r="V71" s="60"/>
      <c r="W71" s="60"/>
      <c r="X71" s="60"/>
      <c r="Y71" s="60"/>
      <c r="Z71" s="60"/>
      <c r="AA71" s="7"/>
      <c r="AB71" s="139"/>
      <c r="AC71" s="139"/>
      <c r="AD71" s="139"/>
      <c r="AE71" s="139"/>
      <c r="AF71" s="200">
        <v>11</v>
      </c>
    </row>
    <row r="72" spans="1:32" s="200" customFormat="1" ht="11.45" customHeight="1">
      <c r="A72" s="569"/>
      <c r="B72" s="65"/>
      <c r="C72" s="65"/>
      <c r="K72" s="60"/>
      <c r="L72" s="65"/>
      <c r="M72" s="65"/>
      <c r="N72" s="60"/>
      <c r="O72" s="60"/>
      <c r="P72" s="60"/>
      <c r="Q72" s="60"/>
      <c r="R72" s="65"/>
      <c r="S72" s="60"/>
      <c r="T72" s="60"/>
      <c r="U72" s="306"/>
      <c r="V72" s="60"/>
      <c r="W72" s="60"/>
      <c r="X72" s="60"/>
      <c r="Y72" s="60"/>
      <c r="Z72" s="60"/>
      <c r="AA72" s="7"/>
      <c r="AB72" s="139"/>
      <c r="AC72" s="139"/>
      <c r="AD72" s="139"/>
      <c r="AE72" s="139"/>
      <c r="AF72" s="200">
        <v>11</v>
      </c>
    </row>
    <row r="73" spans="1:32" s="200" customFormat="1" ht="11.45" customHeight="1">
      <c r="A73" s="569"/>
      <c r="B73" s="65"/>
      <c r="C73" s="65"/>
      <c r="K73" s="60"/>
      <c r="L73" s="65"/>
      <c r="M73" s="65"/>
      <c r="N73" s="60"/>
      <c r="O73" s="60"/>
      <c r="P73" s="60"/>
      <c r="Q73" s="60"/>
      <c r="R73" s="65"/>
      <c r="S73" s="60"/>
      <c r="T73" s="60"/>
      <c r="U73" s="306"/>
      <c r="V73" s="60"/>
      <c r="W73" s="60"/>
      <c r="X73" s="60"/>
      <c r="Y73" s="60"/>
      <c r="Z73" s="60"/>
      <c r="AA73" s="7"/>
      <c r="AB73" s="139"/>
      <c r="AC73" s="139"/>
      <c r="AD73" s="139"/>
      <c r="AE73" s="139"/>
      <c r="AF73" s="200">
        <v>11</v>
      </c>
    </row>
    <row r="74" spans="1:32" s="200" customFormat="1" ht="11.45" customHeight="1">
      <c r="A74" s="569"/>
      <c r="B74" s="65"/>
      <c r="C74" s="65"/>
      <c r="K74" s="60"/>
      <c r="L74" s="65"/>
      <c r="M74" s="65"/>
      <c r="N74" s="60"/>
      <c r="O74" s="60"/>
      <c r="P74" s="60"/>
      <c r="Q74" s="60"/>
      <c r="R74" s="65"/>
      <c r="S74" s="60"/>
      <c r="T74" s="60"/>
      <c r="U74" s="306"/>
      <c r="V74" s="60"/>
      <c r="W74" s="60"/>
      <c r="X74" s="60"/>
      <c r="Y74" s="60"/>
      <c r="Z74" s="60"/>
      <c r="AA74" s="7"/>
      <c r="AB74" s="139"/>
      <c r="AC74" s="139"/>
      <c r="AD74" s="139"/>
      <c r="AE74" s="139"/>
      <c r="AF74" s="200">
        <v>11</v>
      </c>
    </row>
    <row r="75" spans="1:32" s="200" customFormat="1" ht="11.45" customHeight="1">
      <c r="A75" s="569"/>
      <c r="B75" s="65"/>
      <c r="C75" s="65"/>
      <c r="K75" s="60"/>
      <c r="L75" s="65"/>
      <c r="M75" s="65"/>
      <c r="N75" s="60"/>
      <c r="O75" s="60"/>
      <c r="P75" s="60"/>
      <c r="Q75" s="60"/>
      <c r="R75" s="65"/>
      <c r="S75" s="60"/>
      <c r="T75" s="60"/>
      <c r="U75" s="306"/>
      <c r="V75" s="60"/>
      <c r="W75" s="60"/>
      <c r="X75" s="60"/>
      <c r="Y75" s="60"/>
      <c r="Z75" s="60"/>
      <c r="AA75" s="7"/>
      <c r="AB75" s="139"/>
      <c r="AC75" s="139"/>
      <c r="AD75" s="139"/>
      <c r="AE75" s="139"/>
      <c r="AF75" s="200">
        <v>11</v>
      </c>
    </row>
    <row r="76" spans="1:32" s="200" customFormat="1" ht="11.45" customHeight="1">
      <c r="A76" s="569"/>
      <c r="B76" s="65"/>
      <c r="C76" s="65"/>
      <c r="K76" s="60"/>
      <c r="L76" s="65"/>
      <c r="M76" s="65"/>
      <c r="N76" s="60"/>
      <c r="O76" s="60"/>
      <c r="P76" s="60"/>
      <c r="Q76" s="60"/>
      <c r="R76" s="65"/>
      <c r="S76" s="60"/>
      <c r="T76" s="60"/>
      <c r="U76" s="306"/>
      <c r="V76" s="60"/>
      <c r="W76" s="60"/>
      <c r="X76" s="60"/>
      <c r="Y76" s="60"/>
      <c r="Z76" s="60"/>
      <c r="AA76" s="7"/>
      <c r="AB76" s="139"/>
      <c r="AC76" s="139"/>
      <c r="AD76" s="139"/>
      <c r="AE76" s="139"/>
      <c r="AF76" s="200">
        <v>11</v>
      </c>
    </row>
    <row r="77" spans="1:32" s="200" customFormat="1" ht="11.45" customHeight="1">
      <c r="A77" s="569"/>
      <c r="B77" s="65"/>
      <c r="C77" s="65"/>
      <c r="K77" s="60"/>
      <c r="L77" s="65"/>
      <c r="M77" s="65"/>
      <c r="N77" s="60"/>
      <c r="O77" s="60"/>
      <c r="P77" s="60"/>
      <c r="Q77" s="60"/>
      <c r="R77" s="65"/>
      <c r="S77" s="60"/>
      <c r="T77" s="60"/>
      <c r="U77" s="306"/>
      <c r="V77" s="60"/>
      <c r="W77" s="60"/>
      <c r="X77" s="60"/>
      <c r="Y77" s="60"/>
      <c r="Z77" s="60"/>
      <c r="AA77" s="7"/>
      <c r="AB77" s="139"/>
      <c r="AC77" s="139"/>
      <c r="AD77" s="139"/>
      <c r="AE77" s="139"/>
      <c r="AF77" s="200">
        <v>11</v>
      </c>
    </row>
    <row r="78" spans="1:32" s="200" customFormat="1" ht="11.45" customHeight="1">
      <c r="A78" s="569"/>
      <c r="B78" s="65"/>
      <c r="C78" s="65"/>
      <c r="K78" s="60"/>
      <c r="L78" s="65"/>
      <c r="M78" s="65"/>
      <c r="N78" s="60"/>
      <c r="O78" s="60"/>
      <c r="P78" s="60"/>
      <c r="Q78" s="60"/>
      <c r="R78" s="65"/>
      <c r="S78" s="60"/>
      <c r="T78" s="60"/>
      <c r="U78" s="306"/>
      <c r="V78" s="60"/>
      <c r="W78" s="60"/>
      <c r="X78" s="60"/>
      <c r="Y78" s="60"/>
      <c r="Z78" s="60"/>
      <c r="AA78" s="7"/>
      <c r="AB78" s="139"/>
      <c r="AC78" s="139"/>
      <c r="AD78" s="139"/>
      <c r="AE78" s="139"/>
      <c r="AF78" s="200">
        <v>11</v>
      </c>
    </row>
    <row r="79" spans="1:32" s="200" customFormat="1" ht="11.45" customHeight="1">
      <c r="A79" s="569"/>
      <c r="B79" s="65"/>
      <c r="C79" s="65"/>
      <c r="K79" s="60"/>
      <c r="L79" s="65"/>
      <c r="M79" s="65"/>
      <c r="N79" s="60"/>
      <c r="O79" s="60"/>
      <c r="P79" s="60"/>
      <c r="Q79" s="60"/>
      <c r="R79" s="65"/>
      <c r="S79" s="60"/>
      <c r="T79" s="60"/>
      <c r="U79" s="306"/>
      <c r="V79" s="60"/>
      <c r="W79" s="60"/>
      <c r="X79" s="60"/>
      <c r="Y79" s="60"/>
      <c r="Z79" s="60"/>
      <c r="AA79" s="7"/>
      <c r="AB79" s="139"/>
      <c r="AC79" s="139"/>
      <c r="AD79" s="139"/>
      <c r="AE79" s="139"/>
      <c r="AF79" s="200">
        <v>11</v>
      </c>
    </row>
    <row r="80" spans="1:32" s="200" customFormat="1" ht="11.45" customHeight="1">
      <c r="A80" s="569"/>
      <c r="B80" s="65"/>
      <c r="C80" s="65"/>
      <c r="K80" s="60"/>
      <c r="L80" s="65"/>
      <c r="M80" s="65"/>
      <c r="N80" s="60"/>
      <c r="O80" s="60"/>
      <c r="P80" s="60"/>
      <c r="Q80" s="60"/>
      <c r="R80" s="65"/>
      <c r="S80" s="60"/>
      <c r="T80" s="60"/>
      <c r="U80" s="306"/>
      <c r="V80" s="60"/>
      <c r="W80" s="60"/>
      <c r="X80" s="60"/>
      <c r="Y80" s="60"/>
      <c r="Z80" s="60"/>
      <c r="AA80" s="7"/>
      <c r="AB80" s="139"/>
      <c r="AC80" s="139"/>
      <c r="AD80" s="139"/>
      <c r="AE80" s="139"/>
      <c r="AF80" s="200">
        <v>11</v>
      </c>
    </row>
    <row r="81" spans="1:32" s="200" customFormat="1" ht="11.45" customHeight="1">
      <c r="A81" s="569"/>
      <c r="B81" s="65"/>
      <c r="C81" s="65"/>
      <c r="K81" s="60"/>
      <c r="L81" s="65"/>
      <c r="M81" s="65"/>
      <c r="N81" s="60"/>
      <c r="O81" s="60"/>
      <c r="P81" s="60"/>
      <c r="Q81" s="60"/>
      <c r="R81" s="65"/>
      <c r="S81" s="60"/>
      <c r="T81" s="60"/>
      <c r="U81" s="306"/>
      <c r="V81" s="60"/>
      <c r="W81" s="60"/>
      <c r="X81" s="60"/>
      <c r="Y81" s="60"/>
      <c r="Z81" s="60"/>
      <c r="AA81" s="7"/>
      <c r="AB81" s="139"/>
      <c r="AC81" s="139"/>
      <c r="AD81" s="139"/>
      <c r="AE81" s="139"/>
      <c r="AF81" s="200">
        <v>11</v>
      </c>
    </row>
    <row r="82" spans="1:32" s="200" customFormat="1" ht="11.45" customHeight="1">
      <c r="A82" s="569"/>
      <c r="B82" s="65"/>
      <c r="C82" s="65"/>
      <c r="K82" s="60"/>
      <c r="L82" s="65"/>
      <c r="M82" s="65"/>
      <c r="N82" s="60"/>
      <c r="O82" s="60"/>
      <c r="P82" s="60"/>
      <c r="Q82" s="60"/>
      <c r="R82" s="65"/>
      <c r="S82" s="60"/>
      <c r="T82" s="60"/>
      <c r="U82" s="306"/>
      <c r="V82" s="60"/>
      <c r="W82" s="60"/>
      <c r="X82" s="60"/>
      <c r="Y82" s="60"/>
      <c r="Z82" s="60"/>
      <c r="AA82" s="7"/>
      <c r="AB82" s="139"/>
      <c r="AC82" s="139"/>
      <c r="AD82" s="139"/>
      <c r="AE82" s="139"/>
      <c r="AF82" s="200">
        <v>11</v>
      </c>
    </row>
    <row r="83" spans="1:32" s="200" customFormat="1" ht="11.45" customHeight="1">
      <c r="A83" s="569"/>
      <c r="B83" s="65"/>
      <c r="C83" s="65"/>
      <c r="K83" s="60"/>
      <c r="L83" s="65"/>
      <c r="M83" s="65"/>
      <c r="N83" s="60"/>
      <c r="O83" s="60"/>
      <c r="P83" s="60"/>
      <c r="Q83" s="60"/>
      <c r="R83" s="65"/>
      <c r="S83" s="60"/>
      <c r="T83" s="60"/>
      <c r="U83" s="306"/>
      <c r="V83" s="60"/>
      <c r="W83" s="60"/>
      <c r="X83" s="60"/>
      <c r="Y83" s="60"/>
      <c r="Z83" s="60"/>
      <c r="AA83" s="7"/>
      <c r="AB83" s="139"/>
      <c r="AC83" s="139"/>
      <c r="AD83" s="139"/>
      <c r="AE83" s="139"/>
      <c r="AF83" s="200">
        <v>11</v>
      </c>
    </row>
    <row r="84" spans="1:32" s="200" customFormat="1" ht="11.45" customHeight="1">
      <c r="A84" s="569"/>
      <c r="B84" s="65"/>
      <c r="C84" s="65"/>
      <c r="K84" s="60"/>
      <c r="L84" s="65"/>
      <c r="M84" s="65"/>
      <c r="N84" s="60"/>
      <c r="O84" s="60"/>
      <c r="P84" s="60"/>
      <c r="Q84" s="60"/>
      <c r="R84" s="65"/>
      <c r="S84" s="60"/>
      <c r="T84" s="60"/>
      <c r="U84" s="306"/>
      <c r="V84" s="60"/>
      <c r="W84" s="60"/>
      <c r="X84" s="60"/>
      <c r="Y84" s="60"/>
      <c r="Z84" s="60"/>
      <c r="AA84" s="7"/>
      <c r="AB84" s="139"/>
      <c r="AC84" s="139"/>
      <c r="AD84" s="139"/>
      <c r="AE84" s="139"/>
      <c r="AF84" s="200">
        <v>11</v>
      </c>
    </row>
    <row r="85" spans="1:32" s="200" customFormat="1" ht="11.45" customHeight="1">
      <c r="A85" s="569"/>
      <c r="B85" s="65"/>
      <c r="C85" s="65"/>
      <c r="K85" s="60"/>
      <c r="L85" s="65"/>
      <c r="M85" s="65"/>
      <c r="N85" s="60"/>
      <c r="O85" s="60"/>
      <c r="P85" s="60"/>
      <c r="Q85" s="60"/>
      <c r="R85" s="65"/>
      <c r="S85" s="60"/>
      <c r="T85" s="60"/>
      <c r="U85" s="306"/>
      <c r="V85" s="60"/>
      <c r="W85" s="60"/>
      <c r="X85" s="60"/>
      <c r="Y85" s="60"/>
      <c r="Z85" s="60"/>
      <c r="AA85" s="7"/>
      <c r="AB85" s="139"/>
      <c r="AC85" s="139"/>
      <c r="AD85" s="139"/>
      <c r="AE85" s="139"/>
      <c r="AF85" s="200">
        <v>11</v>
      </c>
    </row>
    <row r="86" spans="1:32" s="200" customFormat="1" ht="11.45" customHeight="1">
      <c r="A86" s="569"/>
      <c r="B86" s="65"/>
      <c r="C86" s="65"/>
      <c r="K86" s="60"/>
      <c r="L86" s="65"/>
      <c r="M86" s="65"/>
      <c r="N86" s="60"/>
      <c r="O86" s="60"/>
      <c r="P86" s="60"/>
      <c r="Q86" s="60"/>
      <c r="R86" s="65"/>
      <c r="S86" s="60"/>
      <c r="T86" s="60"/>
      <c r="U86" s="306"/>
      <c r="V86" s="60"/>
      <c r="W86" s="60"/>
      <c r="X86" s="60"/>
      <c r="Y86" s="60"/>
      <c r="Z86" s="60"/>
      <c r="AA86" s="7"/>
      <c r="AB86" s="139"/>
      <c r="AC86" s="139"/>
      <c r="AD86" s="139"/>
      <c r="AE86" s="139"/>
      <c r="AF86" s="200">
        <v>11</v>
      </c>
    </row>
    <row r="87" spans="1:32" s="200" customFormat="1" ht="11.45" customHeight="1">
      <c r="A87" s="569"/>
      <c r="B87" s="65"/>
      <c r="C87" s="65"/>
      <c r="K87" s="60"/>
      <c r="L87" s="65"/>
      <c r="M87" s="65"/>
      <c r="N87" s="60"/>
      <c r="O87" s="60"/>
      <c r="P87" s="60"/>
      <c r="Q87" s="60"/>
      <c r="R87" s="65"/>
      <c r="S87" s="60"/>
      <c r="T87" s="60"/>
      <c r="U87" s="306"/>
      <c r="V87" s="60"/>
      <c r="W87" s="60"/>
      <c r="X87" s="60"/>
      <c r="Y87" s="60"/>
      <c r="Z87" s="60"/>
      <c r="AA87" s="7"/>
      <c r="AB87" s="139"/>
      <c r="AC87" s="139"/>
      <c r="AD87" s="139"/>
      <c r="AE87" s="139"/>
      <c r="AF87" s="200">
        <v>11</v>
      </c>
    </row>
    <row r="88" spans="1:32" s="200" customFormat="1" ht="11.45" customHeight="1">
      <c r="A88" s="569"/>
      <c r="B88" s="65"/>
      <c r="C88" s="65"/>
      <c r="K88" s="60"/>
      <c r="L88" s="65"/>
      <c r="M88" s="65"/>
      <c r="N88" s="60"/>
      <c r="O88" s="60"/>
      <c r="P88" s="60"/>
      <c r="Q88" s="60"/>
      <c r="R88" s="65"/>
      <c r="S88" s="60"/>
      <c r="T88" s="60"/>
      <c r="U88" s="306"/>
      <c r="V88" s="60"/>
      <c r="W88" s="60"/>
      <c r="X88" s="60"/>
      <c r="Y88" s="60"/>
      <c r="Z88" s="60"/>
      <c r="AA88" s="7"/>
      <c r="AB88" s="139"/>
      <c r="AC88" s="139"/>
      <c r="AD88" s="139"/>
      <c r="AE88" s="139"/>
      <c r="AF88" s="200">
        <v>11</v>
      </c>
    </row>
    <row r="89" spans="1:32" s="200" customFormat="1" ht="11.45" customHeight="1">
      <c r="A89" s="569"/>
      <c r="B89" s="65"/>
      <c r="C89" s="65"/>
      <c r="K89" s="60"/>
      <c r="L89" s="65"/>
      <c r="M89" s="65"/>
      <c r="N89" s="60"/>
      <c r="O89" s="60"/>
      <c r="P89" s="60"/>
      <c r="Q89" s="60"/>
      <c r="R89" s="65"/>
      <c r="S89" s="60"/>
      <c r="T89" s="60"/>
      <c r="U89" s="306"/>
      <c r="V89" s="60"/>
      <c r="W89" s="60"/>
      <c r="X89" s="60"/>
      <c r="Y89" s="60"/>
      <c r="Z89" s="60"/>
      <c r="AA89" s="7"/>
      <c r="AB89" s="139"/>
      <c r="AC89" s="139"/>
      <c r="AD89" s="139"/>
      <c r="AE89" s="139"/>
      <c r="AF89" s="200">
        <v>11</v>
      </c>
    </row>
    <row r="90" spans="1:32" s="200" customFormat="1" ht="11.45" customHeight="1">
      <c r="A90" s="569"/>
      <c r="B90" s="65"/>
      <c r="C90" s="65"/>
      <c r="K90" s="60"/>
      <c r="L90" s="65"/>
      <c r="M90" s="65"/>
      <c r="N90" s="60"/>
      <c r="O90" s="60"/>
      <c r="P90" s="60"/>
      <c r="Q90" s="60"/>
      <c r="R90" s="65"/>
      <c r="S90" s="60"/>
      <c r="T90" s="60"/>
      <c r="U90" s="306"/>
      <c r="V90" s="60"/>
      <c r="W90" s="60"/>
      <c r="X90" s="60"/>
      <c r="Y90" s="60"/>
      <c r="Z90" s="60"/>
      <c r="AA90" s="7"/>
      <c r="AB90" s="139"/>
      <c r="AC90" s="139"/>
      <c r="AD90" s="139"/>
      <c r="AE90" s="139"/>
      <c r="AF90" s="200">
        <v>11</v>
      </c>
    </row>
    <row r="91" spans="1:32" s="200" customFormat="1" ht="11.45" customHeight="1">
      <c r="A91" s="569"/>
      <c r="B91" s="65"/>
      <c r="C91" s="65"/>
      <c r="K91" s="60"/>
      <c r="L91" s="65"/>
      <c r="M91" s="65"/>
      <c r="N91" s="60"/>
      <c r="O91" s="60"/>
      <c r="P91" s="60"/>
      <c r="Q91" s="60"/>
      <c r="R91" s="65"/>
      <c r="S91" s="60"/>
      <c r="T91" s="60"/>
      <c r="U91" s="306"/>
      <c r="V91" s="60"/>
      <c r="W91" s="60"/>
      <c r="X91" s="60"/>
      <c r="Y91" s="60"/>
      <c r="Z91" s="60"/>
      <c r="AA91" s="7"/>
      <c r="AB91" s="139"/>
      <c r="AC91" s="139"/>
      <c r="AD91" s="139"/>
      <c r="AE91" s="139"/>
      <c r="AF91" s="200">
        <v>11</v>
      </c>
    </row>
    <row r="92" spans="1:32" s="200" customFormat="1" ht="11.45" customHeight="1">
      <c r="A92" s="569"/>
      <c r="B92" s="65"/>
      <c r="C92" s="65"/>
      <c r="K92" s="60"/>
      <c r="L92" s="65"/>
      <c r="M92" s="65"/>
      <c r="N92" s="60"/>
      <c r="O92" s="60"/>
      <c r="P92" s="60"/>
      <c r="Q92" s="60"/>
      <c r="R92" s="65"/>
      <c r="S92" s="60"/>
      <c r="T92" s="60"/>
      <c r="U92" s="306"/>
      <c r="V92" s="60"/>
      <c r="W92" s="60"/>
      <c r="X92" s="60"/>
      <c r="Y92" s="60"/>
      <c r="Z92" s="60"/>
      <c r="AA92" s="7"/>
      <c r="AB92" s="139"/>
      <c r="AC92" s="139"/>
      <c r="AD92" s="139"/>
      <c r="AE92" s="139"/>
      <c r="AF92" s="200">
        <v>11</v>
      </c>
    </row>
    <row r="93" spans="1:32" s="200" customFormat="1" ht="11.45" customHeight="1">
      <c r="A93" s="569"/>
      <c r="B93" s="65"/>
      <c r="C93" s="65"/>
      <c r="K93" s="60"/>
      <c r="L93" s="65"/>
      <c r="M93" s="65"/>
      <c r="N93" s="60"/>
      <c r="O93" s="60"/>
      <c r="P93" s="60"/>
      <c r="Q93" s="60"/>
      <c r="R93" s="65"/>
      <c r="S93" s="60"/>
      <c r="T93" s="60"/>
      <c r="U93" s="306"/>
      <c r="V93" s="60"/>
      <c r="W93" s="60"/>
      <c r="X93" s="60"/>
      <c r="Y93" s="60"/>
      <c r="Z93" s="60"/>
      <c r="AA93" s="7"/>
      <c r="AB93" s="139"/>
      <c r="AC93" s="139"/>
      <c r="AD93" s="139"/>
      <c r="AE93" s="139"/>
      <c r="AF93" s="200">
        <v>11</v>
      </c>
    </row>
    <row r="94" spans="1:32" s="200" customFormat="1" ht="11.45" customHeight="1">
      <c r="A94" s="569"/>
      <c r="B94" s="65"/>
      <c r="C94" s="65"/>
      <c r="K94" s="60"/>
      <c r="L94" s="65"/>
      <c r="M94" s="65"/>
      <c r="N94" s="60"/>
      <c r="O94" s="60"/>
      <c r="P94" s="60"/>
      <c r="Q94" s="60"/>
      <c r="R94" s="65"/>
      <c r="S94" s="60"/>
      <c r="T94" s="60"/>
      <c r="U94" s="306"/>
      <c r="V94" s="60"/>
      <c r="W94" s="60"/>
      <c r="X94" s="60"/>
      <c r="Y94" s="60"/>
      <c r="Z94" s="60"/>
      <c r="AA94" s="7"/>
      <c r="AB94" s="139"/>
      <c r="AC94" s="139"/>
      <c r="AD94" s="139"/>
      <c r="AE94" s="139"/>
      <c r="AF94" s="200">
        <v>11</v>
      </c>
    </row>
    <row r="95" spans="1:32" s="200" customFormat="1" ht="11.45" customHeight="1">
      <c r="A95" s="569"/>
      <c r="B95" s="65"/>
      <c r="C95" s="65"/>
      <c r="K95" s="60"/>
      <c r="L95" s="65"/>
      <c r="M95" s="65"/>
      <c r="N95" s="60"/>
      <c r="O95" s="60"/>
      <c r="P95" s="60"/>
      <c r="Q95" s="60"/>
      <c r="R95" s="65"/>
      <c r="S95" s="60"/>
      <c r="T95" s="60"/>
      <c r="U95" s="306"/>
      <c r="V95" s="60"/>
      <c r="W95" s="60"/>
      <c r="X95" s="60"/>
      <c r="Y95" s="60"/>
      <c r="Z95" s="60"/>
      <c r="AA95" s="7"/>
      <c r="AB95" s="139"/>
      <c r="AC95" s="139"/>
      <c r="AD95" s="139"/>
      <c r="AE95" s="139"/>
      <c r="AF95" s="200">
        <v>11</v>
      </c>
    </row>
    <row r="96" spans="1:32" s="200" customFormat="1" ht="11.45" customHeight="1">
      <c r="A96" s="569"/>
      <c r="B96" s="65"/>
      <c r="C96" s="65"/>
      <c r="K96" s="60"/>
      <c r="L96" s="65"/>
      <c r="M96" s="65"/>
      <c r="N96" s="60"/>
      <c r="O96" s="60"/>
      <c r="P96" s="60"/>
      <c r="Q96" s="60"/>
      <c r="R96" s="65"/>
      <c r="S96" s="60"/>
      <c r="T96" s="60"/>
      <c r="U96" s="306"/>
      <c r="V96" s="60"/>
      <c r="W96" s="60"/>
      <c r="X96" s="60"/>
      <c r="Y96" s="60"/>
      <c r="Z96" s="60"/>
      <c r="AA96" s="7"/>
      <c r="AB96" s="139"/>
      <c r="AC96" s="139"/>
      <c r="AD96" s="139"/>
      <c r="AE96" s="139"/>
      <c r="AF96" s="200">
        <v>11</v>
      </c>
    </row>
    <row r="97" spans="1:32" s="200" customFormat="1" ht="11.45" customHeight="1">
      <c r="A97" s="569"/>
      <c r="B97" s="65"/>
      <c r="C97" s="65"/>
      <c r="K97" s="60"/>
      <c r="L97" s="65"/>
      <c r="M97" s="65"/>
      <c r="N97" s="60"/>
      <c r="O97" s="60"/>
      <c r="P97" s="60"/>
      <c r="Q97" s="60"/>
      <c r="R97" s="65"/>
      <c r="S97" s="60"/>
      <c r="T97" s="60"/>
      <c r="U97" s="306"/>
      <c r="V97" s="60"/>
      <c r="W97" s="60"/>
      <c r="X97" s="60"/>
      <c r="Y97" s="60"/>
      <c r="Z97" s="60"/>
      <c r="AA97" s="7"/>
      <c r="AB97" s="139"/>
      <c r="AC97" s="139"/>
      <c r="AD97" s="139"/>
      <c r="AE97" s="139"/>
      <c r="AF97" s="200">
        <v>11</v>
      </c>
    </row>
    <row r="98" spans="1:32" s="200" customFormat="1" ht="11.45" customHeight="1">
      <c r="A98" s="569"/>
      <c r="B98" s="65"/>
      <c r="C98" s="65"/>
      <c r="K98" s="60"/>
      <c r="L98" s="65"/>
      <c r="M98" s="65"/>
      <c r="N98" s="60"/>
      <c r="O98" s="60"/>
      <c r="P98" s="60"/>
      <c r="Q98" s="60"/>
      <c r="R98" s="65"/>
      <c r="S98" s="60"/>
      <c r="T98" s="60"/>
      <c r="U98" s="306"/>
      <c r="V98" s="60"/>
      <c r="W98" s="60"/>
      <c r="X98" s="60"/>
      <c r="Y98" s="60"/>
      <c r="Z98" s="60"/>
      <c r="AA98" s="7"/>
      <c r="AB98" s="139"/>
      <c r="AC98" s="139"/>
      <c r="AD98" s="139"/>
      <c r="AE98" s="139"/>
      <c r="AF98" s="200">
        <v>11</v>
      </c>
    </row>
    <row r="99" spans="1:32" s="200" customFormat="1" ht="11.45" customHeight="1">
      <c r="A99" s="569"/>
      <c r="B99" s="65"/>
      <c r="C99" s="65"/>
      <c r="K99" s="60"/>
      <c r="L99" s="65"/>
      <c r="M99" s="65"/>
      <c r="N99" s="60"/>
      <c r="O99" s="60"/>
      <c r="P99" s="60"/>
      <c r="Q99" s="60"/>
      <c r="R99" s="65"/>
      <c r="S99" s="60"/>
      <c r="T99" s="60"/>
      <c r="U99" s="306"/>
      <c r="V99" s="60"/>
      <c r="W99" s="60"/>
      <c r="X99" s="60"/>
      <c r="Y99" s="60"/>
      <c r="Z99" s="60"/>
      <c r="AA99" s="7"/>
      <c r="AB99" s="139"/>
      <c r="AC99" s="139"/>
      <c r="AD99" s="139"/>
      <c r="AE99" s="139"/>
      <c r="AF99" s="200">
        <v>11</v>
      </c>
    </row>
    <row r="100" spans="1:32" s="200" customFormat="1" ht="11.45" customHeight="1">
      <c r="A100" s="569"/>
      <c r="B100" s="65"/>
      <c r="C100" s="65"/>
      <c r="K100" s="60"/>
      <c r="L100" s="65"/>
      <c r="M100" s="65"/>
      <c r="N100" s="60"/>
      <c r="O100" s="60"/>
      <c r="P100" s="60"/>
      <c r="Q100" s="60"/>
      <c r="R100" s="65"/>
      <c r="S100" s="60"/>
      <c r="T100" s="60"/>
      <c r="U100" s="306"/>
      <c r="V100" s="60"/>
      <c r="W100" s="60"/>
      <c r="X100" s="60"/>
      <c r="Y100" s="60"/>
      <c r="Z100" s="60"/>
      <c r="AA100" s="7"/>
      <c r="AB100" s="139"/>
      <c r="AC100" s="139"/>
      <c r="AD100" s="139"/>
      <c r="AE100" s="139"/>
      <c r="AF100" s="200">
        <v>11</v>
      </c>
    </row>
    <row r="101" spans="1:32" s="200" customFormat="1" ht="11.45" customHeight="1">
      <c r="A101" s="569"/>
      <c r="B101" s="65"/>
      <c r="C101" s="65"/>
      <c r="K101" s="60"/>
      <c r="L101" s="65"/>
      <c r="M101" s="65"/>
      <c r="N101" s="60"/>
      <c r="O101" s="60"/>
      <c r="P101" s="60"/>
      <c r="Q101" s="60"/>
      <c r="R101" s="65"/>
      <c r="S101" s="60"/>
      <c r="T101" s="60"/>
      <c r="U101" s="306"/>
      <c r="V101" s="60"/>
      <c r="W101" s="60"/>
      <c r="X101" s="60"/>
      <c r="Y101" s="60"/>
      <c r="Z101" s="60"/>
      <c r="AA101" s="7"/>
      <c r="AB101" s="139"/>
      <c r="AC101" s="139"/>
      <c r="AD101" s="139"/>
      <c r="AE101" s="139"/>
      <c r="AF101" s="200">
        <v>11</v>
      </c>
    </row>
    <row r="102" spans="1:32" s="200" customFormat="1" ht="11.45" customHeight="1">
      <c r="A102" s="569"/>
      <c r="B102" s="65"/>
      <c r="C102" s="65"/>
      <c r="K102" s="60"/>
      <c r="L102" s="65"/>
      <c r="M102" s="65"/>
      <c r="N102" s="60"/>
      <c r="O102" s="60"/>
      <c r="P102" s="60"/>
      <c r="Q102" s="60"/>
      <c r="R102" s="65"/>
      <c r="S102" s="60"/>
      <c r="T102" s="60"/>
      <c r="U102" s="306"/>
      <c r="V102" s="60"/>
      <c r="W102" s="60"/>
      <c r="X102" s="60"/>
      <c r="Y102" s="60"/>
      <c r="Z102" s="60"/>
      <c r="AA102" s="7"/>
      <c r="AB102" s="139"/>
      <c r="AC102" s="139"/>
      <c r="AD102" s="139"/>
      <c r="AE102" s="139"/>
      <c r="AF102" s="200">
        <v>11</v>
      </c>
    </row>
    <row r="103" spans="1:32" s="200" customFormat="1" ht="11.45" customHeight="1">
      <c r="A103" s="569"/>
      <c r="B103" s="65"/>
      <c r="C103" s="65"/>
      <c r="K103" s="60"/>
      <c r="L103" s="65"/>
      <c r="M103" s="65"/>
      <c r="N103" s="60"/>
      <c r="O103" s="60"/>
      <c r="P103" s="60"/>
      <c r="Q103" s="60"/>
      <c r="R103" s="65"/>
      <c r="S103" s="60"/>
      <c r="T103" s="60"/>
      <c r="U103" s="306"/>
      <c r="V103" s="60"/>
      <c r="W103" s="60"/>
      <c r="X103" s="60"/>
      <c r="Y103" s="60"/>
      <c r="Z103" s="60"/>
      <c r="AA103" s="7"/>
      <c r="AB103" s="139"/>
      <c r="AC103" s="139"/>
      <c r="AD103" s="139"/>
      <c r="AE103" s="139"/>
      <c r="AF103" s="200">
        <v>11</v>
      </c>
    </row>
    <row r="104" spans="1:32" s="200" customFormat="1" ht="11.45" customHeight="1">
      <c r="A104" s="569"/>
      <c r="B104" s="65"/>
      <c r="C104" s="65"/>
      <c r="K104" s="60"/>
      <c r="L104" s="65"/>
      <c r="M104" s="65"/>
      <c r="N104" s="60"/>
      <c r="O104" s="60"/>
      <c r="P104" s="60"/>
      <c r="Q104" s="60"/>
      <c r="R104" s="65"/>
      <c r="S104" s="60"/>
      <c r="T104" s="60"/>
      <c r="U104" s="306"/>
      <c r="V104" s="60"/>
      <c r="W104" s="60"/>
      <c r="X104" s="60"/>
      <c r="Y104" s="60"/>
      <c r="Z104" s="60"/>
      <c r="AA104" s="7"/>
      <c r="AB104" s="139"/>
      <c r="AC104" s="139"/>
      <c r="AD104" s="139"/>
      <c r="AE104" s="139"/>
      <c r="AF104" s="200">
        <v>11</v>
      </c>
    </row>
    <row r="105" spans="1:32" s="200" customFormat="1" ht="11.45" customHeight="1">
      <c r="A105" s="569"/>
      <c r="B105" s="65"/>
      <c r="C105" s="65"/>
      <c r="K105" s="60"/>
      <c r="L105" s="65"/>
      <c r="M105" s="65"/>
      <c r="N105" s="60"/>
      <c r="O105" s="60"/>
      <c r="P105" s="60"/>
      <c r="Q105" s="60"/>
      <c r="R105" s="65"/>
      <c r="S105" s="60"/>
      <c r="T105" s="60"/>
      <c r="U105" s="306"/>
      <c r="V105" s="60"/>
      <c r="W105" s="60"/>
      <c r="X105" s="60"/>
      <c r="Y105" s="60"/>
      <c r="Z105" s="60"/>
      <c r="AA105" s="7"/>
      <c r="AB105" s="139"/>
      <c r="AC105" s="139"/>
      <c r="AD105" s="139"/>
      <c r="AE105" s="139"/>
      <c r="AF105" s="200">
        <v>11</v>
      </c>
    </row>
    <row r="106" spans="1:32" s="200" customFormat="1" ht="11.45" customHeight="1">
      <c r="A106" s="569"/>
      <c r="B106" s="65"/>
      <c r="C106" s="65"/>
      <c r="K106" s="60"/>
      <c r="L106" s="65"/>
      <c r="M106" s="65"/>
      <c r="N106" s="60"/>
      <c r="O106" s="60"/>
      <c r="P106" s="60"/>
      <c r="Q106" s="60"/>
      <c r="R106" s="65"/>
      <c r="S106" s="60"/>
      <c r="T106" s="60"/>
      <c r="U106" s="306"/>
      <c r="V106" s="60"/>
      <c r="W106" s="60"/>
      <c r="X106" s="60"/>
      <c r="Y106" s="60"/>
      <c r="Z106" s="60"/>
      <c r="AA106" s="7"/>
      <c r="AB106" s="139"/>
      <c r="AC106" s="139"/>
      <c r="AD106" s="139"/>
      <c r="AE106" s="139"/>
      <c r="AF106" s="200">
        <v>11</v>
      </c>
    </row>
    <row r="107" spans="1:32" s="200" customFormat="1" ht="11.45" customHeight="1">
      <c r="A107" s="569"/>
      <c r="B107" s="65"/>
      <c r="C107" s="65"/>
      <c r="K107" s="60"/>
      <c r="L107" s="65"/>
      <c r="M107" s="65"/>
      <c r="N107" s="60"/>
      <c r="O107" s="60"/>
      <c r="P107" s="60"/>
      <c r="Q107" s="60"/>
      <c r="R107" s="65"/>
      <c r="S107" s="60"/>
      <c r="T107" s="60"/>
      <c r="U107" s="306"/>
      <c r="V107" s="60"/>
      <c r="W107" s="60"/>
      <c r="X107" s="60"/>
      <c r="Y107" s="60"/>
      <c r="Z107" s="60"/>
      <c r="AA107" s="7"/>
      <c r="AB107" s="139"/>
      <c r="AC107" s="139"/>
      <c r="AD107" s="139"/>
      <c r="AE107" s="139"/>
      <c r="AF107" s="200">
        <v>11</v>
      </c>
    </row>
    <row r="108" spans="1:32" s="200" customFormat="1" ht="11.45" customHeight="1">
      <c r="A108" s="569"/>
      <c r="B108" s="65"/>
      <c r="C108" s="65"/>
      <c r="K108" s="60"/>
      <c r="L108" s="65"/>
      <c r="M108" s="65"/>
      <c r="N108" s="60"/>
      <c r="O108" s="60"/>
      <c r="P108" s="60"/>
      <c r="Q108" s="60"/>
      <c r="R108" s="65"/>
      <c r="S108" s="60"/>
      <c r="T108" s="60"/>
      <c r="U108" s="306"/>
      <c r="V108" s="60"/>
      <c r="W108" s="60"/>
      <c r="X108" s="60"/>
      <c r="Y108" s="60"/>
      <c r="Z108" s="60"/>
      <c r="AA108" s="7"/>
      <c r="AB108" s="139"/>
      <c r="AC108" s="139"/>
      <c r="AD108" s="139"/>
      <c r="AE108" s="139"/>
      <c r="AF108" s="200">
        <v>11</v>
      </c>
    </row>
    <row r="109" spans="1:32" s="200" customFormat="1" ht="11.45" customHeight="1">
      <c r="A109" s="569"/>
      <c r="B109" s="65"/>
      <c r="C109" s="65"/>
      <c r="K109" s="60"/>
      <c r="L109" s="65"/>
      <c r="M109" s="65"/>
      <c r="N109" s="60"/>
      <c r="O109" s="60"/>
      <c r="P109" s="60"/>
      <c r="Q109" s="60"/>
      <c r="R109" s="65"/>
      <c r="S109" s="60"/>
      <c r="T109" s="60"/>
      <c r="U109" s="306"/>
      <c r="V109" s="60"/>
      <c r="W109" s="60"/>
      <c r="X109" s="60"/>
      <c r="Y109" s="60"/>
      <c r="Z109" s="60"/>
      <c r="AA109" s="7"/>
      <c r="AB109" s="139"/>
      <c r="AC109" s="139"/>
      <c r="AD109" s="139"/>
      <c r="AE109" s="139"/>
      <c r="AF109" s="200">
        <v>11</v>
      </c>
    </row>
    <row r="110" spans="1:32" s="200" customFormat="1" ht="11.45" customHeight="1">
      <c r="A110" s="569"/>
      <c r="B110" s="65"/>
      <c r="C110" s="65"/>
      <c r="K110" s="60"/>
      <c r="L110" s="65"/>
      <c r="M110" s="65"/>
      <c r="N110" s="60"/>
      <c r="O110" s="60"/>
      <c r="P110" s="60"/>
      <c r="Q110" s="60"/>
      <c r="R110" s="65"/>
      <c r="S110" s="60"/>
      <c r="T110" s="60"/>
      <c r="U110" s="306"/>
      <c r="V110" s="60"/>
      <c r="W110" s="60"/>
      <c r="X110" s="60"/>
      <c r="Y110" s="60"/>
      <c r="Z110" s="60"/>
      <c r="AA110" s="7"/>
      <c r="AB110" s="139"/>
      <c r="AC110" s="139"/>
      <c r="AD110" s="139"/>
      <c r="AE110" s="139"/>
      <c r="AF110" s="200">
        <v>11</v>
      </c>
    </row>
    <row r="111" spans="1:32" s="200" customFormat="1" ht="11.45" customHeight="1">
      <c r="A111" s="569"/>
      <c r="B111" s="65"/>
      <c r="C111" s="65"/>
      <c r="K111" s="60"/>
      <c r="L111" s="65"/>
      <c r="M111" s="65"/>
      <c r="N111" s="60"/>
      <c r="O111" s="60"/>
      <c r="P111" s="60"/>
      <c r="Q111" s="60"/>
      <c r="R111" s="65"/>
      <c r="S111" s="60"/>
      <c r="T111" s="60"/>
      <c r="U111" s="306"/>
      <c r="V111" s="60"/>
      <c r="W111" s="60"/>
      <c r="X111" s="60"/>
      <c r="Y111" s="60"/>
      <c r="Z111" s="60"/>
      <c r="AA111" s="7"/>
      <c r="AB111" s="139"/>
      <c r="AC111" s="139"/>
      <c r="AD111" s="139"/>
      <c r="AE111" s="139"/>
      <c r="AF111" s="200">
        <v>11</v>
      </c>
    </row>
    <row r="112" spans="1:32" s="200" customFormat="1" ht="11.45" customHeight="1">
      <c r="A112" s="569"/>
      <c r="B112" s="65"/>
      <c r="C112" s="65"/>
      <c r="K112" s="60"/>
      <c r="L112" s="65"/>
      <c r="M112" s="65"/>
      <c r="N112" s="60"/>
      <c r="O112" s="60"/>
      <c r="P112" s="60"/>
      <c r="Q112" s="60"/>
      <c r="R112" s="65"/>
      <c r="S112" s="60"/>
      <c r="T112" s="60"/>
      <c r="U112" s="306"/>
      <c r="V112" s="60"/>
      <c r="W112" s="60"/>
      <c r="X112" s="60"/>
      <c r="Y112" s="60"/>
      <c r="Z112" s="60"/>
      <c r="AA112" s="7"/>
      <c r="AB112" s="139"/>
      <c r="AC112" s="139"/>
      <c r="AD112" s="139"/>
      <c r="AE112" s="139"/>
      <c r="AF112" s="200">
        <v>11</v>
      </c>
    </row>
    <row r="113" spans="1:32" s="200" customFormat="1" ht="11.45" customHeight="1">
      <c r="A113" s="569"/>
      <c r="B113" s="65"/>
      <c r="C113" s="65"/>
      <c r="K113" s="60"/>
      <c r="L113" s="65"/>
      <c r="M113" s="65"/>
      <c r="N113" s="60"/>
      <c r="O113" s="60"/>
      <c r="P113" s="60"/>
      <c r="Q113" s="60"/>
      <c r="R113" s="65"/>
      <c r="S113" s="60"/>
      <c r="T113" s="60"/>
      <c r="U113" s="306"/>
      <c r="V113" s="60"/>
      <c r="W113" s="60"/>
      <c r="X113" s="60"/>
      <c r="Y113" s="60"/>
      <c r="Z113" s="60"/>
      <c r="AA113" s="7"/>
      <c r="AB113" s="139"/>
      <c r="AC113" s="139"/>
      <c r="AD113" s="139"/>
      <c r="AE113" s="139"/>
      <c r="AF113" s="200">
        <v>11</v>
      </c>
    </row>
    <row r="114" spans="1:32" s="200" customFormat="1" ht="11.45" customHeight="1">
      <c r="A114" s="569"/>
      <c r="B114" s="65"/>
      <c r="C114" s="65"/>
      <c r="K114" s="60"/>
      <c r="L114" s="65"/>
      <c r="M114" s="65"/>
      <c r="N114" s="60"/>
      <c r="O114" s="60"/>
      <c r="P114" s="60"/>
      <c r="Q114" s="60"/>
      <c r="R114" s="65"/>
      <c r="S114" s="60"/>
      <c r="T114" s="60"/>
      <c r="U114" s="306"/>
      <c r="V114" s="60"/>
      <c r="W114" s="60"/>
      <c r="X114" s="60"/>
      <c r="Y114" s="60"/>
      <c r="Z114" s="60"/>
      <c r="AA114" s="7"/>
      <c r="AB114" s="139"/>
      <c r="AC114" s="139"/>
      <c r="AD114" s="139"/>
      <c r="AE114" s="139"/>
      <c r="AF114" s="200">
        <v>11</v>
      </c>
    </row>
    <row r="115" spans="1:32" s="200" customFormat="1" ht="11.45" customHeight="1">
      <c r="A115" s="569"/>
      <c r="B115" s="65"/>
      <c r="C115" s="65"/>
      <c r="K115" s="60"/>
      <c r="L115" s="65"/>
      <c r="M115" s="65"/>
      <c r="N115" s="60"/>
      <c r="O115" s="60"/>
      <c r="P115" s="60"/>
      <c r="Q115" s="60"/>
      <c r="R115" s="65"/>
      <c r="S115" s="60"/>
      <c r="T115" s="60"/>
      <c r="U115" s="306"/>
      <c r="V115" s="60"/>
      <c r="W115" s="60"/>
      <c r="X115" s="60"/>
      <c r="Y115" s="60"/>
      <c r="Z115" s="60"/>
      <c r="AA115" s="7"/>
      <c r="AB115" s="139"/>
      <c r="AC115" s="139"/>
      <c r="AD115" s="139"/>
      <c r="AE115" s="139"/>
      <c r="AF115" s="200">
        <v>11</v>
      </c>
    </row>
    <row r="116" spans="1:32" s="200" customFormat="1" ht="11.45" customHeight="1">
      <c r="A116" s="569"/>
      <c r="B116" s="65"/>
      <c r="C116" s="65"/>
      <c r="K116" s="60"/>
      <c r="L116" s="65"/>
      <c r="M116" s="65"/>
      <c r="N116" s="60"/>
      <c r="O116" s="60"/>
      <c r="P116" s="60"/>
      <c r="Q116" s="60"/>
      <c r="R116" s="65"/>
      <c r="S116" s="60"/>
      <c r="T116" s="60"/>
      <c r="U116" s="306"/>
      <c r="V116" s="60"/>
      <c r="W116" s="60"/>
      <c r="X116" s="60"/>
      <c r="Y116" s="60"/>
      <c r="Z116" s="60"/>
      <c r="AA116" s="7"/>
      <c r="AB116" s="139"/>
      <c r="AC116" s="139"/>
      <c r="AD116" s="139"/>
      <c r="AE116" s="139"/>
      <c r="AF116" s="200">
        <v>11</v>
      </c>
    </row>
    <row r="117" spans="1:32" s="200" customFormat="1" ht="11.45" customHeight="1">
      <c r="A117" s="569"/>
      <c r="B117" s="65"/>
      <c r="C117" s="65"/>
      <c r="K117" s="60"/>
      <c r="L117" s="65"/>
      <c r="M117" s="65"/>
      <c r="N117" s="60"/>
      <c r="O117" s="60"/>
      <c r="P117" s="60"/>
      <c r="Q117" s="60"/>
      <c r="R117" s="65"/>
      <c r="S117" s="60"/>
      <c r="T117" s="60"/>
      <c r="U117" s="306"/>
      <c r="V117" s="60"/>
      <c r="W117" s="60"/>
      <c r="X117" s="60"/>
      <c r="Y117" s="60"/>
      <c r="Z117" s="60"/>
      <c r="AA117" s="7"/>
      <c r="AB117" s="139"/>
      <c r="AC117" s="139"/>
      <c r="AD117" s="139"/>
      <c r="AE117" s="139"/>
      <c r="AF117" s="200">
        <v>11</v>
      </c>
    </row>
    <row r="118" spans="1:32" s="200" customFormat="1" ht="11.45" customHeight="1">
      <c r="A118" s="569"/>
      <c r="B118" s="65"/>
      <c r="C118" s="65"/>
      <c r="K118" s="60"/>
      <c r="L118" s="65"/>
      <c r="M118" s="65"/>
      <c r="N118" s="60"/>
      <c r="O118" s="60"/>
      <c r="P118" s="60"/>
      <c r="Q118" s="60"/>
      <c r="R118" s="65"/>
      <c r="S118" s="60"/>
      <c r="T118" s="60"/>
      <c r="U118" s="306"/>
      <c r="V118" s="60"/>
      <c r="W118" s="60"/>
      <c r="X118" s="60"/>
      <c r="Y118" s="60"/>
      <c r="Z118" s="60"/>
      <c r="AA118" s="7"/>
      <c r="AB118" s="139"/>
      <c r="AC118" s="139"/>
      <c r="AD118" s="139"/>
      <c r="AE118" s="139"/>
      <c r="AF118" s="200">
        <v>11</v>
      </c>
    </row>
    <row r="119" spans="1:32" s="200" customFormat="1" ht="11.45" customHeight="1">
      <c r="A119" s="569"/>
      <c r="B119" s="65"/>
      <c r="C119" s="65"/>
      <c r="K119" s="60"/>
      <c r="L119" s="65"/>
      <c r="M119" s="65"/>
      <c r="N119" s="60"/>
      <c r="O119" s="60"/>
      <c r="P119" s="60"/>
      <c r="Q119" s="60"/>
      <c r="R119" s="65"/>
      <c r="S119" s="60"/>
      <c r="T119" s="60"/>
      <c r="U119" s="306"/>
      <c r="V119" s="60"/>
      <c r="W119" s="60"/>
      <c r="X119" s="60"/>
      <c r="Y119" s="60"/>
      <c r="Z119" s="60"/>
      <c r="AA119" s="7"/>
      <c r="AB119" s="139"/>
      <c r="AC119" s="139"/>
      <c r="AD119" s="139"/>
      <c r="AE119" s="139"/>
      <c r="AF119" s="200">
        <v>11</v>
      </c>
    </row>
    <row r="120" spans="1:32" s="200" customFormat="1" ht="11.45" customHeight="1">
      <c r="A120" s="569"/>
      <c r="B120" s="65"/>
      <c r="C120" s="65"/>
      <c r="K120" s="60"/>
      <c r="L120" s="65"/>
      <c r="M120" s="65"/>
      <c r="N120" s="60"/>
      <c r="O120" s="60"/>
      <c r="P120" s="60"/>
      <c r="Q120" s="60"/>
      <c r="R120" s="65"/>
      <c r="S120" s="60"/>
      <c r="T120" s="60"/>
      <c r="U120" s="306"/>
      <c r="V120" s="60"/>
      <c r="W120" s="60"/>
      <c r="X120" s="60"/>
      <c r="Y120" s="60"/>
      <c r="Z120" s="60"/>
      <c r="AA120" s="7"/>
      <c r="AB120" s="139"/>
      <c r="AC120" s="139"/>
      <c r="AD120" s="139"/>
      <c r="AE120" s="139"/>
      <c r="AF120" s="200">
        <v>11</v>
      </c>
    </row>
    <row r="121" spans="1:32" s="200" customFormat="1" ht="11.45" customHeight="1">
      <c r="A121" s="569"/>
      <c r="B121" s="65"/>
      <c r="C121" s="65"/>
      <c r="K121" s="60"/>
      <c r="L121" s="65"/>
      <c r="M121" s="65"/>
      <c r="N121" s="60"/>
      <c r="O121" s="60"/>
      <c r="P121" s="60"/>
      <c r="Q121" s="60"/>
      <c r="R121" s="65"/>
      <c r="S121" s="60"/>
      <c r="T121" s="60"/>
      <c r="U121" s="306"/>
      <c r="V121" s="60"/>
      <c r="W121" s="60"/>
      <c r="X121" s="60"/>
      <c r="Y121" s="60"/>
      <c r="Z121" s="60"/>
      <c r="AA121" s="7"/>
      <c r="AB121" s="139"/>
      <c r="AC121" s="139"/>
      <c r="AD121" s="139"/>
      <c r="AE121" s="139"/>
      <c r="AF121" s="200">
        <v>11</v>
      </c>
    </row>
    <row r="122" spans="1:32" s="200" customFormat="1" ht="11.45" customHeight="1">
      <c r="A122" s="569"/>
      <c r="B122" s="65"/>
      <c r="C122" s="65"/>
      <c r="K122" s="60"/>
      <c r="L122" s="65"/>
      <c r="M122" s="65"/>
      <c r="N122" s="60"/>
      <c r="O122" s="60"/>
      <c r="P122" s="60"/>
      <c r="Q122" s="60"/>
      <c r="R122" s="65"/>
      <c r="S122" s="60"/>
      <c r="T122" s="60"/>
      <c r="U122" s="306"/>
      <c r="V122" s="60"/>
      <c r="W122" s="60"/>
      <c r="X122" s="60"/>
      <c r="Y122" s="60"/>
      <c r="Z122" s="60"/>
      <c r="AA122" s="7"/>
      <c r="AB122" s="139"/>
      <c r="AC122" s="139"/>
      <c r="AD122" s="139"/>
      <c r="AE122" s="139"/>
      <c r="AF122" s="200">
        <v>11</v>
      </c>
    </row>
    <row r="123" spans="1:32" s="200" customFormat="1" ht="11.45" customHeight="1">
      <c r="A123" s="569"/>
      <c r="B123" s="65"/>
      <c r="C123" s="65"/>
      <c r="K123" s="60"/>
      <c r="L123" s="65"/>
      <c r="M123" s="65"/>
      <c r="N123" s="60"/>
      <c r="O123" s="60"/>
      <c r="P123" s="60"/>
      <c r="Q123" s="60"/>
      <c r="R123" s="65"/>
      <c r="S123" s="60"/>
      <c r="T123" s="60"/>
      <c r="U123" s="306"/>
      <c r="V123" s="60"/>
      <c r="W123" s="60"/>
      <c r="X123" s="60"/>
      <c r="Y123" s="60"/>
      <c r="Z123" s="60"/>
      <c r="AA123" s="7"/>
      <c r="AB123" s="139"/>
      <c r="AC123" s="139"/>
      <c r="AD123" s="139"/>
      <c r="AE123" s="139"/>
      <c r="AF123" s="200">
        <v>11</v>
      </c>
    </row>
    <row r="124" spans="1:32" s="200" customFormat="1" ht="11.45" customHeight="1">
      <c r="A124" s="569"/>
      <c r="B124" s="65"/>
      <c r="C124" s="65"/>
      <c r="K124" s="60"/>
      <c r="L124" s="65"/>
      <c r="M124" s="65"/>
      <c r="N124" s="60"/>
      <c r="O124" s="60"/>
      <c r="P124" s="60"/>
      <c r="Q124" s="60"/>
      <c r="R124" s="65"/>
      <c r="S124" s="60"/>
      <c r="T124" s="60"/>
      <c r="U124" s="306"/>
      <c r="V124" s="60"/>
      <c r="W124" s="60"/>
      <c r="X124" s="60"/>
      <c r="Y124" s="60"/>
      <c r="Z124" s="60"/>
      <c r="AA124" s="7"/>
      <c r="AB124" s="139"/>
      <c r="AC124" s="139"/>
      <c r="AD124" s="139"/>
      <c r="AE124" s="139"/>
      <c r="AF124" s="200">
        <v>11</v>
      </c>
    </row>
    <row r="125" spans="1:32" s="200" customFormat="1" ht="11.45" customHeight="1">
      <c r="A125" s="569"/>
      <c r="B125" s="65"/>
      <c r="C125" s="65"/>
      <c r="K125" s="60"/>
      <c r="L125" s="65"/>
      <c r="M125" s="65"/>
      <c r="N125" s="60"/>
      <c r="O125" s="60"/>
      <c r="P125" s="60"/>
      <c r="Q125" s="60"/>
      <c r="R125" s="65"/>
      <c r="S125" s="60"/>
      <c r="T125" s="60"/>
      <c r="U125" s="306"/>
      <c r="V125" s="60"/>
      <c r="W125" s="60"/>
      <c r="X125" s="60"/>
      <c r="Y125" s="60"/>
      <c r="Z125" s="60"/>
      <c r="AA125" s="7"/>
      <c r="AB125" s="139"/>
      <c r="AC125" s="139"/>
      <c r="AD125" s="139"/>
      <c r="AE125" s="139"/>
      <c r="AF125" s="200">
        <v>11</v>
      </c>
    </row>
    <row r="126" spans="1:32" s="200" customFormat="1" ht="11.45" customHeight="1">
      <c r="A126" s="569"/>
      <c r="B126" s="65"/>
      <c r="C126" s="65"/>
      <c r="K126" s="60"/>
      <c r="L126" s="65"/>
      <c r="M126" s="65"/>
      <c r="N126" s="60"/>
      <c r="O126" s="60"/>
      <c r="P126" s="60"/>
      <c r="Q126" s="60"/>
      <c r="R126" s="65"/>
      <c r="S126" s="60"/>
      <c r="T126" s="60"/>
      <c r="U126" s="306"/>
      <c r="V126" s="60"/>
      <c r="W126" s="60"/>
      <c r="X126" s="60"/>
      <c r="Y126" s="60"/>
      <c r="Z126" s="60"/>
      <c r="AA126" s="7"/>
      <c r="AB126" s="139"/>
      <c r="AC126" s="139"/>
      <c r="AD126" s="139"/>
      <c r="AE126" s="139"/>
      <c r="AF126" s="200">
        <v>11</v>
      </c>
    </row>
    <row r="127" spans="1:32" s="200" customFormat="1" ht="11.45" customHeight="1">
      <c r="A127" s="569"/>
      <c r="B127" s="65"/>
      <c r="C127" s="65"/>
      <c r="K127" s="60"/>
      <c r="L127" s="65"/>
      <c r="M127" s="65"/>
      <c r="N127" s="60"/>
      <c r="O127" s="60"/>
      <c r="P127" s="60"/>
      <c r="Q127" s="60"/>
      <c r="R127" s="65"/>
      <c r="S127" s="60"/>
      <c r="T127" s="60"/>
      <c r="U127" s="306"/>
      <c r="V127" s="60"/>
      <c r="W127" s="60"/>
      <c r="X127" s="60"/>
      <c r="Y127" s="60"/>
      <c r="Z127" s="60"/>
      <c r="AA127" s="7"/>
      <c r="AB127" s="139"/>
      <c r="AC127" s="139"/>
      <c r="AD127" s="139"/>
      <c r="AE127" s="139"/>
      <c r="AF127" s="200">
        <v>11</v>
      </c>
    </row>
    <row r="128" spans="1:32" s="200" customFormat="1" ht="11.45" customHeight="1">
      <c r="A128" s="569"/>
      <c r="B128" s="65"/>
      <c r="C128" s="65"/>
      <c r="K128" s="60"/>
      <c r="L128" s="65"/>
      <c r="M128" s="65"/>
      <c r="N128" s="60"/>
      <c r="O128" s="60"/>
      <c r="P128" s="60"/>
      <c r="Q128" s="60"/>
      <c r="R128" s="65"/>
      <c r="S128" s="60"/>
      <c r="T128" s="60"/>
      <c r="U128" s="306"/>
      <c r="V128" s="60"/>
      <c r="W128" s="60"/>
      <c r="X128" s="60"/>
      <c r="Y128" s="60"/>
      <c r="Z128" s="60"/>
      <c r="AA128" s="7"/>
      <c r="AB128" s="139"/>
      <c r="AC128" s="139"/>
      <c r="AD128" s="139"/>
      <c r="AE128" s="139"/>
      <c r="AF128" s="200">
        <v>11</v>
      </c>
    </row>
    <row r="129" spans="1:32" s="200" customFormat="1" ht="11.45" customHeight="1">
      <c r="A129" s="569"/>
      <c r="B129" s="65"/>
      <c r="C129" s="65"/>
      <c r="K129" s="60"/>
      <c r="L129" s="65"/>
      <c r="M129" s="65"/>
      <c r="N129" s="60"/>
      <c r="O129" s="60"/>
      <c r="P129" s="60"/>
      <c r="Q129" s="60"/>
      <c r="R129" s="65"/>
      <c r="S129" s="60"/>
      <c r="T129" s="60"/>
      <c r="U129" s="306"/>
      <c r="V129" s="60"/>
      <c r="W129" s="60"/>
      <c r="X129" s="60"/>
      <c r="Y129" s="60"/>
      <c r="Z129" s="60"/>
      <c r="AA129" s="7"/>
      <c r="AB129" s="139"/>
      <c r="AC129" s="139"/>
      <c r="AD129" s="139"/>
      <c r="AE129" s="139"/>
      <c r="AF129" s="200">
        <v>11</v>
      </c>
    </row>
    <row r="130" spans="1:32" s="200" customFormat="1" ht="11.45" customHeight="1">
      <c r="A130" s="569"/>
      <c r="B130" s="65"/>
      <c r="C130" s="65"/>
      <c r="K130" s="60"/>
      <c r="L130" s="65"/>
      <c r="M130" s="65"/>
      <c r="N130" s="60"/>
      <c r="O130" s="60"/>
      <c r="P130" s="60"/>
      <c r="Q130" s="60"/>
      <c r="R130" s="65"/>
      <c r="S130" s="60"/>
      <c r="T130" s="60"/>
      <c r="U130" s="306"/>
      <c r="V130" s="60"/>
      <c r="W130" s="60"/>
      <c r="X130" s="60"/>
      <c r="Y130" s="60"/>
      <c r="Z130" s="60"/>
      <c r="AA130" s="7"/>
      <c r="AB130" s="139"/>
      <c r="AC130" s="139"/>
      <c r="AD130" s="139"/>
      <c r="AE130" s="139"/>
      <c r="AF130" s="200">
        <v>11</v>
      </c>
    </row>
    <row r="131" spans="1:32" s="200" customFormat="1" ht="11.45" customHeight="1">
      <c r="A131" s="569"/>
      <c r="B131" s="65"/>
      <c r="C131" s="65"/>
      <c r="K131" s="60"/>
      <c r="L131" s="65"/>
      <c r="M131" s="65"/>
      <c r="N131" s="60"/>
      <c r="O131" s="60"/>
      <c r="P131" s="60"/>
      <c r="Q131" s="60"/>
      <c r="R131" s="65"/>
      <c r="S131" s="60"/>
      <c r="T131" s="60"/>
      <c r="U131" s="306"/>
      <c r="V131" s="60"/>
      <c r="W131" s="60"/>
      <c r="X131" s="60"/>
      <c r="Y131" s="60"/>
      <c r="Z131" s="60"/>
      <c r="AA131" s="7"/>
      <c r="AB131" s="139"/>
      <c r="AC131" s="139"/>
      <c r="AD131" s="139"/>
      <c r="AE131" s="139"/>
      <c r="AF131" s="200">
        <v>11</v>
      </c>
    </row>
    <row r="132" spans="1:32" s="200" customFormat="1" ht="11.45" customHeight="1">
      <c r="A132" s="569"/>
      <c r="B132" s="65"/>
      <c r="C132" s="65"/>
      <c r="K132" s="60"/>
      <c r="L132" s="65"/>
      <c r="M132" s="65"/>
      <c r="N132" s="60"/>
      <c r="O132" s="60"/>
      <c r="P132" s="60"/>
      <c r="Q132" s="60"/>
      <c r="R132" s="65"/>
      <c r="S132" s="60"/>
      <c r="T132" s="60"/>
      <c r="U132" s="306"/>
      <c r="V132" s="60"/>
      <c r="W132" s="60"/>
      <c r="X132" s="60"/>
      <c r="Y132" s="60"/>
      <c r="Z132" s="60"/>
      <c r="AA132" s="7"/>
      <c r="AB132" s="139"/>
      <c r="AC132" s="139"/>
      <c r="AD132" s="139"/>
      <c r="AE132" s="139"/>
      <c r="AF132" s="200">
        <v>11</v>
      </c>
    </row>
    <row r="133" spans="1:32" s="200" customFormat="1" ht="11.45" customHeight="1">
      <c r="A133" s="569"/>
      <c r="B133" s="65"/>
      <c r="C133" s="65"/>
      <c r="K133" s="60"/>
      <c r="L133" s="65"/>
      <c r="M133" s="65"/>
      <c r="N133" s="60"/>
      <c r="O133" s="60"/>
      <c r="P133" s="60"/>
      <c r="Q133" s="60"/>
      <c r="R133" s="65"/>
      <c r="S133" s="60"/>
      <c r="T133" s="60"/>
      <c r="U133" s="306"/>
      <c r="V133" s="60"/>
      <c r="W133" s="60"/>
      <c r="X133" s="60"/>
      <c r="Y133" s="60"/>
      <c r="Z133" s="60"/>
      <c r="AA133" s="7"/>
      <c r="AB133" s="139"/>
      <c r="AC133" s="139"/>
      <c r="AD133" s="139"/>
      <c r="AE133" s="139"/>
      <c r="AF133" s="200">
        <v>11</v>
      </c>
    </row>
    <row r="134" spans="1:32" s="200" customFormat="1" ht="11.45" customHeight="1">
      <c r="A134" s="569"/>
      <c r="B134" s="65"/>
      <c r="C134" s="65"/>
      <c r="K134" s="60"/>
      <c r="L134" s="65"/>
      <c r="M134" s="65"/>
      <c r="N134" s="60"/>
      <c r="O134" s="60"/>
      <c r="P134" s="60"/>
      <c r="Q134" s="60"/>
      <c r="R134" s="65"/>
      <c r="S134" s="60"/>
      <c r="T134" s="60"/>
      <c r="U134" s="306"/>
      <c r="V134" s="60"/>
      <c r="W134" s="60"/>
      <c r="X134" s="60"/>
      <c r="Y134" s="60"/>
      <c r="Z134" s="60"/>
      <c r="AA134" s="7"/>
      <c r="AB134" s="139"/>
      <c r="AC134" s="139"/>
      <c r="AD134" s="139"/>
      <c r="AE134" s="139"/>
      <c r="AF134" s="200">
        <v>11</v>
      </c>
    </row>
    <row r="135" spans="1:32" s="200" customFormat="1" ht="11.45" customHeight="1">
      <c r="A135" s="569"/>
      <c r="B135" s="65"/>
      <c r="C135" s="65"/>
      <c r="K135" s="60"/>
      <c r="L135" s="65"/>
      <c r="M135" s="65"/>
      <c r="N135" s="60"/>
      <c r="O135" s="60"/>
      <c r="P135" s="60"/>
      <c r="Q135" s="60"/>
      <c r="R135" s="65"/>
      <c r="S135" s="60"/>
      <c r="T135" s="60"/>
      <c r="U135" s="306"/>
      <c r="V135" s="60"/>
      <c r="W135" s="60"/>
      <c r="X135" s="60"/>
      <c r="Y135" s="60"/>
      <c r="Z135" s="60"/>
      <c r="AA135" s="7"/>
      <c r="AB135" s="139"/>
      <c r="AC135" s="139"/>
      <c r="AD135" s="139"/>
      <c r="AE135" s="139"/>
      <c r="AF135" s="200">
        <v>11</v>
      </c>
    </row>
    <row r="136" spans="1:32" s="200" customFormat="1" ht="11.45" customHeight="1">
      <c r="A136" s="569"/>
      <c r="B136" s="65"/>
      <c r="C136" s="65"/>
      <c r="K136" s="60"/>
      <c r="L136" s="65"/>
      <c r="M136" s="65"/>
      <c r="N136" s="60"/>
      <c r="O136" s="60"/>
      <c r="P136" s="60"/>
      <c r="Q136" s="60"/>
      <c r="R136" s="65"/>
      <c r="S136" s="60"/>
      <c r="T136" s="60"/>
      <c r="U136" s="306"/>
      <c r="V136" s="60"/>
      <c r="W136" s="60"/>
      <c r="X136" s="60"/>
      <c r="Y136" s="60"/>
      <c r="Z136" s="60"/>
      <c r="AA136" s="7"/>
      <c r="AB136" s="139"/>
      <c r="AC136" s="139"/>
      <c r="AD136" s="139"/>
      <c r="AE136" s="139"/>
      <c r="AF136" s="200">
        <v>11</v>
      </c>
    </row>
    <row r="137" spans="1:32" s="200" customFormat="1" ht="11.45" customHeight="1">
      <c r="A137" s="569"/>
      <c r="B137" s="65"/>
      <c r="C137" s="65"/>
      <c r="K137" s="60"/>
      <c r="L137" s="65"/>
      <c r="M137" s="65"/>
      <c r="N137" s="60"/>
      <c r="O137" s="60"/>
      <c r="P137" s="60"/>
      <c r="Q137" s="60"/>
      <c r="R137" s="65"/>
      <c r="S137" s="60"/>
      <c r="T137" s="60"/>
      <c r="U137" s="306"/>
      <c r="V137" s="60"/>
      <c r="W137" s="60"/>
      <c r="X137" s="60"/>
      <c r="Y137" s="60"/>
      <c r="Z137" s="60"/>
      <c r="AA137" s="7"/>
      <c r="AB137" s="139"/>
      <c r="AC137" s="139"/>
      <c r="AD137" s="139"/>
      <c r="AE137" s="139"/>
      <c r="AF137" s="200">
        <v>11</v>
      </c>
    </row>
    <row r="138" spans="1:32" s="200" customFormat="1" ht="11.45" customHeight="1">
      <c r="A138" s="569"/>
      <c r="B138" s="65"/>
      <c r="C138" s="65"/>
      <c r="K138" s="60"/>
      <c r="L138" s="65"/>
      <c r="M138" s="65"/>
      <c r="N138" s="60"/>
      <c r="O138" s="60"/>
      <c r="P138" s="60"/>
      <c r="Q138" s="60"/>
      <c r="R138" s="65"/>
      <c r="S138" s="60"/>
      <c r="T138" s="60"/>
      <c r="U138" s="306"/>
      <c r="V138" s="60"/>
      <c r="W138" s="60"/>
      <c r="X138" s="60"/>
      <c r="Y138" s="60"/>
      <c r="Z138" s="60"/>
      <c r="AA138" s="7"/>
      <c r="AB138" s="139"/>
      <c r="AC138" s="139"/>
      <c r="AD138" s="139"/>
      <c r="AE138" s="139"/>
      <c r="AF138" s="200">
        <v>11</v>
      </c>
    </row>
    <row r="139" spans="1:32" s="200" customFormat="1" ht="11.45" customHeight="1">
      <c r="A139" s="569"/>
      <c r="B139" s="65"/>
      <c r="C139" s="65"/>
      <c r="K139" s="60"/>
      <c r="L139" s="65"/>
      <c r="M139" s="65"/>
      <c r="N139" s="60"/>
      <c r="O139" s="60"/>
      <c r="P139" s="60"/>
      <c r="Q139" s="60"/>
      <c r="R139" s="65"/>
      <c r="S139" s="60"/>
      <c r="T139" s="60"/>
      <c r="U139" s="306"/>
      <c r="V139" s="60"/>
      <c r="W139" s="60"/>
      <c r="X139" s="60"/>
      <c r="Y139" s="60"/>
      <c r="Z139" s="60"/>
      <c r="AA139" s="7"/>
      <c r="AB139" s="139"/>
      <c r="AC139" s="139"/>
      <c r="AD139" s="139"/>
      <c r="AE139" s="139"/>
      <c r="AF139" s="200">
        <v>11</v>
      </c>
    </row>
    <row r="140" spans="1:32" s="200" customFormat="1" ht="11.45" customHeight="1">
      <c r="A140" s="569"/>
      <c r="B140" s="65"/>
      <c r="C140" s="65"/>
      <c r="K140" s="60"/>
      <c r="L140" s="65"/>
      <c r="M140" s="65"/>
      <c r="N140" s="60"/>
      <c r="O140" s="60"/>
      <c r="P140" s="60"/>
      <c r="Q140" s="60"/>
      <c r="R140" s="65"/>
      <c r="S140" s="60"/>
      <c r="T140" s="60"/>
      <c r="U140" s="306"/>
      <c r="V140" s="60"/>
      <c r="W140" s="60"/>
      <c r="X140" s="60"/>
      <c r="Y140" s="60"/>
      <c r="Z140" s="60"/>
      <c r="AA140" s="7"/>
      <c r="AB140" s="139"/>
      <c r="AC140" s="139"/>
      <c r="AD140" s="139"/>
      <c r="AE140" s="139"/>
      <c r="AF140" s="200">
        <v>11</v>
      </c>
    </row>
    <row r="141" spans="1:32" s="200" customFormat="1" ht="11.45" customHeight="1">
      <c r="A141" s="569"/>
      <c r="B141" s="65"/>
      <c r="C141" s="65"/>
      <c r="K141" s="60"/>
      <c r="L141" s="65"/>
      <c r="M141" s="65"/>
      <c r="N141" s="60"/>
      <c r="O141" s="60"/>
      <c r="P141" s="60"/>
      <c r="Q141" s="60"/>
      <c r="R141" s="65"/>
      <c r="S141" s="60"/>
      <c r="T141" s="60"/>
      <c r="U141" s="306"/>
      <c r="V141" s="60"/>
      <c r="W141" s="60"/>
      <c r="X141" s="60"/>
      <c r="Y141" s="60"/>
      <c r="Z141" s="60"/>
      <c r="AA141" s="7"/>
      <c r="AB141" s="139"/>
      <c r="AC141" s="139"/>
      <c r="AD141" s="139"/>
      <c r="AE141" s="139"/>
      <c r="AF141" s="200">
        <v>11</v>
      </c>
    </row>
    <row r="142" spans="1:32" s="200" customFormat="1" ht="11.45" customHeight="1">
      <c r="A142" s="569"/>
      <c r="B142" s="65"/>
      <c r="C142" s="65"/>
      <c r="K142" s="60"/>
      <c r="L142" s="65"/>
      <c r="M142" s="65"/>
      <c r="N142" s="60"/>
      <c r="O142" s="60"/>
      <c r="P142" s="60"/>
      <c r="Q142" s="60"/>
      <c r="R142" s="65"/>
      <c r="S142" s="60"/>
      <c r="T142" s="60"/>
      <c r="U142" s="306"/>
      <c r="V142" s="60"/>
      <c r="W142" s="60"/>
      <c r="X142" s="60"/>
      <c r="Y142" s="60"/>
      <c r="Z142" s="60"/>
      <c r="AA142" s="7"/>
      <c r="AB142" s="139"/>
      <c r="AC142" s="139"/>
      <c r="AD142" s="139"/>
      <c r="AE142" s="139"/>
      <c r="AF142" s="200">
        <v>11</v>
      </c>
    </row>
    <row r="143" spans="1:32" s="200" customFormat="1" ht="11.45" customHeight="1">
      <c r="A143" s="569"/>
      <c r="B143" s="65"/>
      <c r="C143" s="65"/>
      <c r="K143" s="60"/>
      <c r="L143" s="65"/>
      <c r="M143" s="65"/>
      <c r="N143" s="60"/>
      <c r="O143" s="60"/>
      <c r="P143" s="60"/>
      <c r="Q143" s="60"/>
      <c r="R143" s="65"/>
      <c r="S143" s="60"/>
      <c r="T143" s="60"/>
      <c r="U143" s="306"/>
      <c r="V143" s="60"/>
      <c r="W143" s="60"/>
      <c r="X143" s="60"/>
      <c r="Y143" s="60"/>
      <c r="Z143" s="60"/>
      <c r="AA143" s="7"/>
      <c r="AB143" s="139"/>
      <c r="AC143" s="139"/>
      <c r="AD143" s="139"/>
      <c r="AE143" s="139"/>
      <c r="AF143" s="200">
        <v>11</v>
      </c>
    </row>
    <row r="144" spans="1:32" s="200" customFormat="1" ht="11.45" customHeight="1">
      <c r="A144" s="569"/>
      <c r="B144" s="65"/>
      <c r="C144" s="65"/>
      <c r="K144" s="60"/>
      <c r="L144" s="65"/>
      <c r="M144" s="65"/>
      <c r="N144" s="60"/>
      <c r="O144" s="60"/>
      <c r="P144" s="60"/>
      <c r="Q144" s="60"/>
      <c r="R144" s="65"/>
      <c r="S144" s="60"/>
      <c r="T144" s="60"/>
      <c r="U144" s="306"/>
      <c r="V144" s="60"/>
      <c r="W144" s="60"/>
      <c r="X144" s="60"/>
      <c r="Y144" s="60"/>
      <c r="Z144" s="60"/>
      <c r="AA144" s="7"/>
      <c r="AB144" s="139"/>
      <c r="AC144" s="139"/>
      <c r="AD144" s="139"/>
      <c r="AE144" s="139"/>
      <c r="AF144" s="200">
        <v>11</v>
      </c>
    </row>
    <row r="145" spans="1:32" s="200" customFormat="1" ht="11.45" customHeight="1">
      <c r="A145" s="569"/>
      <c r="B145" s="65"/>
      <c r="C145" s="65"/>
      <c r="K145" s="60"/>
      <c r="L145" s="65"/>
      <c r="M145" s="65"/>
      <c r="N145" s="60"/>
      <c r="O145" s="60"/>
      <c r="P145" s="60"/>
      <c r="Q145" s="60"/>
      <c r="R145" s="65"/>
      <c r="S145" s="60"/>
      <c r="T145" s="60"/>
      <c r="U145" s="306"/>
      <c r="V145" s="60"/>
      <c r="W145" s="60"/>
      <c r="X145" s="60"/>
      <c r="Y145" s="60"/>
      <c r="Z145" s="60"/>
      <c r="AA145" s="7"/>
      <c r="AB145" s="139"/>
      <c r="AC145" s="139"/>
      <c r="AD145" s="139"/>
      <c r="AE145" s="139"/>
      <c r="AF145" s="200">
        <v>11</v>
      </c>
    </row>
    <row r="146" spans="1:32" s="200" customFormat="1" ht="11.45" customHeight="1">
      <c r="A146" s="569"/>
      <c r="B146" s="65"/>
      <c r="C146" s="65"/>
      <c r="K146" s="60"/>
      <c r="L146" s="65"/>
      <c r="M146" s="65"/>
      <c r="N146" s="60"/>
      <c r="O146" s="60"/>
      <c r="P146" s="60"/>
      <c r="Q146" s="60"/>
      <c r="R146" s="65"/>
      <c r="S146" s="60"/>
      <c r="T146" s="60"/>
      <c r="U146" s="306"/>
      <c r="V146" s="60"/>
      <c r="W146" s="60"/>
      <c r="X146" s="60"/>
      <c r="Y146" s="60"/>
      <c r="Z146" s="60"/>
      <c r="AA146" s="7"/>
      <c r="AB146" s="139"/>
      <c r="AC146" s="139"/>
      <c r="AD146" s="139"/>
      <c r="AE146" s="139"/>
      <c r="AF146" s="200">
        <v>11</v>
      </c>
    </row>
    <row r="147" spans="1:32" s="200" customFormat="1" ht="11.45" customHeight="1">
      <c r="A147" s="569"/>
      <c r="B147" s="65"/>
      <c r="C147" s="65"/>
      <c r="K147" s="60"/>
      <c r="L147" s="65"/>
      <c r="M147" s="65"/>
      <c r="N147" s="60"/>
      <c r="O147" s="60"/>
      <c r="P147" s="60"/>
      <c r="Q147" s="60"/>
      <c r="R147" s="65"/>
      <c r="S147" s="60"/>
      <c r="T147" s="60"/>
      <c r="U147" s="306"/>
      <c r="V147" s="60"/>
      <c r="W147" s="60"/>
      <c r="X147" s="60"/>
      <c r="Y147" s="60"/>
      <c r="Z147" s="60"/>
      <c r="AA147" s="7"/>
      <c r="AB147" s="139"/>
      <c r="AC147" s="139"/>
      <c r="AD147" s="139"/>
      <c r="AE147" s="139"/>
      <c r="AF147" s="200">
        <v>11</v>
      </c>
    </row>
    <row r="148" spans="1:32" s="200" customFormat="1" ht="11.45" customHeight="1">
      <c r="A148" s="569"/>
      <c r="B148" s="65"/>
      <c r="C148" s="65"/>
      <c r="K148" s="60"/>
      <c r="L148" s="65"/>
      <c r="M148" s="65"/>
      <c r="N148" s="60"/>
      <c r="O148" s="60"/>
      <c r="P148" s="60"/>
      <c r="Q148" s="60"/>
      <c r="R148" s="65"/>
      <c r="S148" s="60"/>
      <c r="T148" s="60"/>
      <c r="U148" s="306"/>
      <c r="V148" s="60"/>
      <c r="W148" s="60"/>
      <c r="X148" s="60"/>
      <c r="Y148" s="60"/>
      <c r="Z148" s="60"/>
      <c r="AA148" s="7"/>
      <c r="AB148" s="139"/>
      <c r="AC148" s="139"/>
      <c r="AD148" s="139"/>
      <c r="AE148" s="139"/>
      <c r="AF148" s="200">
        <v>11</v>
      </c>
    </row>
    <row r="149" spans="1:32" s="200" customFormat="1" ht="11.45" customHeight="1">
      <c r="A149" s="569"/>
      <c r="B149" s="65"/>
      <c r="C149" s="65"/>
      <c r="K149" s="60"/>
      <c r="L149" s="65"/>
      <c r="M149" s="65"/>
      <c r="N149" s="60"/>
      <c r="O149" s="60"/>
      <c r="P149" s="60"/>
      <c r="Q149" s="60"/>
      <c r="R149" s="65"/>
      <c r="S149" s="60"/>
      <c r="T149" s="60"/>
      <c r="U149" s="306"/>
      <c r="V149" s="60"/>
      <c r="W149" s="60"/>
      <c r="X149" s="60"/>
      <c r="Y149" s="60"/>
      <c r="Z149" s="60"/>
      <c r="AA149" s="7"/>
      <c r="AB149" s="139"/>
      <c r="AC149" s="139"/>
      <c r="AD149" s="139"/>
      <c r="AE149" s="139"/>
      <c r="AF149" s="200">
        <v>11</v>
      </c>
    </row>
    <row r="150" spans="1:32" s="200" customFormat="1" ht="11.45" customHeight="1">
      <c r="A150" s="569"/>
      <c r="B150" s="65"/>
      <c r="C150" s="65"/>
      <c r="K150" s="60"/>
      <c r="L150" s="65"/>
      <c r="M150" s="65"/>
      <c r="N150" s="60"/>
      <c r="O150" s="60"/>
      <c r="P150" s="60"/>
      <c r="Q150" s="60"/>
      <c r="R150" s="65"/>
      <c r="S150" s="60"/>
      <c r="T150" s="60"/>
      <c r="U150" s="306"/>
      <c r="V150" s="60"/>
      <c r="W150" s="60"/>
      <c r="X150" s="60"/>
      <c r="Y150" s="60"/>
      <c r="Z150" s="60"/>
      <c r="AA150" s="7"/>
      <c r="AB150" s="139"/>
      <c r="AC150" s="139"/>
      <c r="AD150" s="139"/>
      <c r="AE150" s="139"/>
      <c r="AF150" s="200">
        <v>11</v>
      </c>
    </row>
    <row r="151" spans="1:32" s="200" customFormat="1" ht="11.45" customHeight="1">
      <c r="A151" s="569"/>
      <c r="B151" s="65"/>
      <c r="C151" s="65"/>
      <c r="K151" s="60"/>
      <c r="L151" s="65"/>
      <c r="M151" s="65"/>
      <c r="N151" s="60"/>
      <c r="O151" s="60"/>
      <c r="P151" s="60"/>
      <c r="Q151" s="60"/>
      <c r="R151" s="65"/>
      <c r="S151" s="60"/>
      <c r="T151" s="60"/>
      <c r="U151" s="306"/>
      <c r="V151" s="60"/>
      <c r="W151" s="60"/>
      <c r="X151" s="60"/>
      <c r="Y151" s="60"/>
      <c r="Z151" s="60"/>
      <c r="AA151" s="7"/>
      <c r="AB151" s="139"/>
      <c r="AC151" s="139"/>
      <c r="AD151" s="139"/>
      <c r="AE151" s="139"/>
      <c r="AF151" s="200">
        <v>11</v>
      </c>
    </row>
    <row r="152" spans="1:32" s="200" customFormat="1" ht="11.45" customHeight="1">
      <c r="A152" s="569"/>
      <c r="B152" s="65"/>
      <c r="C152" s="65"/>
      <c r="K152" s="60"/>
      <c r="L152" s="65"/>
      <c r="M152" s="65"/>
      <c r="N152" s="60"/>
      <c r="O152" s="60"/>
      <c r="P152" s="60"/>
      <c r="Q152" s="60"/>
      <c r="R152" s="65"/>
      <c r="S152" s="60"/>
      <c r="T152" s="60"/>
      <c r="U152" s="306"/>
      <c r="V152" s="60"/>
      <c r="W152" s="60"/>
      <c r="X152" s="60"/>
      <c r="Y152" s="60"/>
      <c r="Z152" s="60"/>
      <c r="AA152" s="7"/>
      <c r="AB152" s="139"/>
      <c r="AC152" s="139"/>
      <c r="AD152" s="139"/>
      <c r="AE152" s="139"/>
      <c r="AF152" s="200">
        <v>11</v>
      </c>
    </row>
    <row r="153" spans="1:32" s="200" customFormat="1" ht="11.45" customHeight="1">
      <c r="A153" s="569"/>
      <c r="B153" s="65"/>
      <c r="C153" s="65"/>
      <c r="K153" s="60"/>
      <c r="L153" s="65"/>
      <c r="M153" s="65"/>
      <c r="N153" s="60"/>
      <c r="O153" s="60"/>
      <c r="P153" s="60"/>
      <c r="Q153" s="60"/>
      <c r="R153" s="65"/>
      <c r="S153" s="60"/>
      <c r="T153" s="60"/>
      <c r="U153" s="306"/>
      <c r="V153" s="60"/>
      <c r="W153" s="60"/>
      <c r="X153" s="60"/>
      <c r="Y153" s="60"/>
      <c r="Z153" s="60"/>
      <c r="AA153" s="7"/>
      <c r="AB153" s="139"/>
      <c r="AC153" s="139"/>
      <c r="AD153" s="139"/>
      <c r="AE153" s="139"/>
      <c r="AF153" s="200">
        <v>11</v>
      </c>
    </row>
    <row r="154" spans="1:32" s="200" customFormat="1" ht="11.45" customHeight="1">
      <c r="A154" s="569"/>
      <c r="B154" s="65"/>
      <c r="C154" s="65"/>
      <c r="K154" s="60"/>
      <c r="L154" s="65"/>
      <c r="M154" s="65"/>
      <c r="N154" s="60"/>
      <c r="O154" s="60"/>
      <c r="P154" s="60"/>
      <c r="Q154" s="60"/>
      <c r="R154" s="65"/>
      <c r="S154" s="60"/>
      <c r="T154" s="60"/>
      <c r="U154" s="306"/>
      <c r="V154" s="60"/>
      <c r="W154" s="60"/>
      <c r="X154" s="60"/>
      <c r="Y154" s="60"/>
      <c r="Z154" s="60"/>
      <c r="AA154" s="7"/>
      <c r="AB154" s="139"/>
      <c r="AC154" s="139"/>
      <c r="AD154" s="139"/>
      <c r="AE154" s="139"/>
      <c r="AF154" s="200">
        <v>11</v>
      </c>
    </row>
    <row r="155" spans="1:32" s="200" customFormat="1" ht="11.45" customHeight="1">
      <c r="A155" s="569"/>
      <c r="B155" s="65"/>
      <c r="C155" s="65"/>
      <c r="K155" s="60"/>
      <c r="L155" s="65"/>
      <c r="M155" s="65"/>
      <c r="N155" s="60"/>
      <c r="O155" s="60"/>
      <c r="P155" s="60"/>
      <c r="Q155" s="60"/>
      <c r="R155" s="65"/>
      <c r="S155" s="60"/>
      <c r="T155" s="60"/>
      <c r="U155" s="306"/>
      <c r="V155" s="60"/>
      <c r="W155" s="60"/>
      <c r="X155" s="60"/>
      <c r="Y155" s="60"/>
      <c r="Z155" s="60"/>
      <c r="AA155" s="7"/>
      <c r="AB155" s="139"/>
      <c r="AC155" s="139"/>
      <c r="AD155" s="139"/>
      <c r="AE155" s="139"/>
      <c r="AF155" s="200">
        <v>11</v>
      </c>
    </row>
    <row r="156" spans="1:32" s="200" customFormat="1" ht="11.45" customHeight="1">
      <c r="A156" s="569"/>
      <c r="B156" s="65"/>
      <c r="C156" s="65"/>
      <c r="K156" s="60"/>
      <c r="L156" s="65"/>
      <c r="M156" s="65"/>
      <c r="N156" s="60"/>
      <c r="O156" s="60"/>
      <c r="P156" s="60"/>
      <c r="Q156" s="60"/>
      <c r="R156" s="65"/>
      <c r="S156" s="60"/>
      <c r="T156" s="60"/>
      <c r="U156" s="306"/>
      <c r="V156" s="60"/>
      <c r="W156" s="60"/>
      <c r="X156" s="60"/>
      <c r="Y156" s="60"/>
      <c r="Z156" s="60"/>
      <c r="AA156" s="7"/>
      <c r="AB156" s="139"/>
      <c r="AC156" s="139"/>
      <c r="AD156" s="139"/>
      <c r="AE156" s="139"/>
      <c r="AF156" s="200">
        <v>11</v>
      </c>
    </row>
    <row r="157" spans="1:32" s="200" customFormat="1" ht="11.45" customHeight="1">
      <c r="A157" s="569"/>
      <c r="B157" s="65"/>
      <c r="C157" s="65"/>
      <c r="K157" s="60"/>
      <c r="L157" s="65"/>
      <c r="M157" s="65"/>
      <c r="N157" s="60"/>
      <c r="O157" s="60"/>
      <c r="P157" s="60"/>
      <c r="Q157" s="60"/>
      <c r="R157" s="65"/>
      <c r="S157" s="60"/>
      <c r="T157" s="60"/>
      <c r="U157" s="306"/>
      <c r="V157" s="60"/>
      <c r="W157" s="60"/>
      <c r="X157" s="60"/>
      <c r="Y157" s="60"/>
      <c r="Z157" s="60"/>
      <c r="AA157" s="7"/>
      <c r="AB157" s="139"/>
      <c r="AC157" s="139"/>
      <c r="AD157" s="139"/>
      <c r="AE157" s="139"/>
      <c r="AF157" s="200">
        <v>11</v>
      </c>
    </row>
    <row r="158" spans="1:32" s="200" customFormat="1" ht="11.45" customHeight="1">
      <c r="A158" s="569"/>
      <c r="B158" s="65"/>
      <c r="C158" s="65"/>
      <c r="K158" s="60"/>
      <c r="L158" s="65"/>
      <c r="M158" s="65"/>
      <c r="N158" s="60"/>
      <c r="O158" s="60"/>
      <c r="P158" s="60"/>
      <c r="Q158" s="60"/>
      <c r="R158" s="65"/>
      <c r="S158" s="60"/>
      <c r="T158" s="60"/>
      <c r="U158" s="306"/>
      <c r="V158" s="60"/>
      <c r="W158" s="60"/>
      <c r="X158" s="60"/>
      <c r="Y158" s="60"/>
      <c r="Z158" s="60"/>
      <c r="AA158" s="7"/>
      <c r="AB158" s="139"/>
      <c r="AC158" s="139"/>
      <c r="AD158" s="139"/>
      <c r="AE158" s="139"/>
      <c r="AF158" s="200">
        <v>11</v>
      </c>
    </row>
    <row r="159" spans="1:32" s="200" customFormat="1" ht="11.45" customHeight="1">
      <c r="A159" s="569"/>
      <c r="B159" s="65"/>
      <c r="C159" s="65"/>
      <c r="K159" s="60"/>
      <c r="L159" s="65"/>
      <c r="M159" s="65"/>
      <c r="N159" s="60"/>
      <c r="O159" s="60"/>
      <c r="P159" s="60"/>
      <c r="Q159" s="60"/>
      <c r="R159" s="65"/>
      <c r="S159" s="60"/>
      <c r="T159" s="60"/>
      <c r="U159" s="306"/>
      <c r="V159" s="60"/>
      <c r="W159" s="60"/>
      <c r="X159" s="60"/>
      <c r="Y159" s="60"/>
      <c r="Z159" s="60"/>
      <c r="AA159" s="7"/>
      <c r="AB159" s="139"/>
      <c r="AC159" s="139"/>
      <c r="AD159" s="139"/>
      <c r="AE159" s="139"/>
      <c r="AF159" s="200">
        <v>11</v>
      </c>
    </row>
    <row r="160" spans="1:32" s="200" customFormat="1" ht="11.45" customHeight="1">
      <c r="A160" s="569"/>
      <c r="B160" s="65"/>
      <c r="C160" s="65"/>
      <c r="K160" s="60"/>
      <c r="L160" s="65"/>
      <c r="M160" s="65"/>
      <c r="N160" s="60"/>
      <c r="O160" s="60"/>
      <c r="P160" s="60"/>
      <c r="Q160" s="60"/>
      <c r="R160" s="65"/>
      <c r="S160" s="60"/>
      <c r="T160" s="60"/>
      <c r="U160" s="306"/>
      <c r="V160" s="60"/>
      <c r="W160" s="60"/>
      <c r="X160" s="60"/>
      <c r="Y160" s="60"/>
      <c r="Z160" s="60"/>
      <c r="AA160" s="7"/>
      <c r="AB160" s="139"/>
      <c r="AC160" s="139"/>
      <c r="AD160" s="139"/>
      <c r="AE160" s="139"/>
      <c r="AF160" s="200">
        <v>11</v>
      </c>
    </row>
    <row r="161" spans="1:32" s="200" customFormat="1" ht="11.45" customHeight="1">
      <c r="A161" s="569"/>
      <c r="B161" s="65"/>
      <c r="C161" s="65"/>
      <c r="K161" s="60"/>
      <c r="L161" s="65"/>
      <c r="M161" s="65"/>
      <c r="N161" s="60"/>
      <c r="O161" s="60"/>
      <c r="P161" s="60"/>
      <c r="Q161" s="60"/>
      <c r="R161" s="65"/>
      <c r="S161" s="60"/>
      <c r="T161" s="60"/>
      <c r="U161" s="306"/>
      <c r="V161" s="60"/>
      <c r="W161" s="60"/>
      <c r="X161" s="60"/>
      <c r="Y161" s="60"/>
      <c r="Z161" s="60"/>
      <c r="AA161" s="7"/>
      <c r="AB161" s="139"/>
      <c r="AC161" s="139"/>
      <c r="AD161" s="139"/>
      <c r="AE161" s="139"/>
      <c r="AF161" s="200">
        <v>11</v>
      </c>
    </row>
    <row r="162" spans="1:32" s="200" customFormat="1" ht="11.45" customHeight="1">
      <c r="A162" s="569"/>
      <c r="B162" s="65"/>
      <c r="C162" s="65"/>
      <c r="K162" s="60"/>
      <c r="L162" s="65"/>
      <c r="M162" s="65"/>
      <c r="N162" s="60"/>
      <c r="O162" s="60"/>
      <c r="P162" s="60"/>
      <c r="Q162" s="60"/>
      <c r="R162" s="65"/>
      <c r="S162" s="60"/>
      <c r="T162" s="60"/>
      <c r="U162" s="306"/>
      <c r="V162" s="60"/>
      <c r="W162" s="60"/>
      <c r="X162" s="60"/>
      <c r="Y162" s="60"/>
      <c r="Z162" s="60"/>
      <c r="AA162" s="7"/>
      <c r="AB162" s="139"/>
      <c r="AC162" s="139"/>
      <c r="AD162" s="139"/>
      <c r="AE162" s="139"/>
      <c r="AF162" s="200">
        <v>11</v>
      </c>
    </row>
    <row r="163" spans="1:32" s="200" customFormat="1" ht="11.45" customHeight="1">
      <c r="A163" s="569"/>
      <c r="B163" s="65"/>
      <c r="C163" s="65"/>
      <c r="K163" s="60"/>
      <c r="L163" s="65"/>
      <c r="M163" s="65"/>
      <c r="N163" s="60"/>
      <c r="O163" s="60"/>
      <c r="P163" s="60"/>
      <c r="Q163" s="60"/>
      <c r="R163" s="65"/>
      <c r="S163" s="60"/>
      <c r="T163" s="60"/>
      <c r="U163" s="306"/>
      <c r="V163" s="60"/>
      <c r="W163" s="60"/>
      <c r="X163" s="60"/>
      <c r="Y163" s="60"/>
      <c r="Z163" s="60"/>
      <c r="AA163" s="7"/>
      <c r="AB163" s="139"/>
      <c r="AC163" s="139"/>
      <c r="AD163" s="139"/>
      <c r="AE163" s="139"/>
      <c r="AF163" s="200">
        <v>11</v>
      </c>
    </row>
    <row r="164" spans="1:32" s="200" customFormat="1" ht="11.45" customHeight="1">
      <c r="A164" s="569"/>
      <c r="B164" s="65"/>
      <c r="C164" s="65"/>
      <c r="K164" s="60"/>
      <c r="L164" s="65"/>
      <c r="M164" s="65"/>
      <c r="N164" s="60"/>
      <c r="O164" s="60"/>
      <c r="P164" s="60"/>
      <c r="Q164" s="60"/>
      <c r="R164" s="65"/>
      <c r="S164" s="60"/>
      <c r="T164" s="60"/>
      <c r="U164" s="306"/>
      <c r="V164" s="60"/>
      <c r="W164" s="60"/>
      <c r="X164" s="60"/>
      <c r="Y164" s="60"/>
      <c r="Z164" s="60"/>
      <c r="AA164" s="7"/>
      <c r="AB164" s="139"/>
      <c r="AC164" s="139"/>
      <c r="AD164" s="139"/>
      <c r="AE164" s="139"/>
      <c r="AF164" s="200">
        <v>11</v>
      </c>
    </row>
    <row r="165" spans="1:32" s="200" customFormat="1" ht="11.45" customHeight="1">
      <c r="A165" s="569"/>
      <c r="B165" s="65"/>
      <c r="C165" s="65"/>
      <c r="K165" s="60"/>
      <c r="L165" s="65"/>
      <c r="M165" s="65"/>
      <c r="N165" s="60"/>
      <c r="O165" s="60"/>
      <c r="P165" s="60"/>
      <c r="Q165" s="60"/>
      <c r="R165" s="65"/>
      <c r="S165" s="60"/>
      <c r="T165" s="60"/>
      <c r="U165" s="306"/>
      <c r="V165" s="60"/>
      <c r="W165" s="60"/>
      <c r="X165" s="60"/>
      <c r="Y165" s="60"/>
      <c r="Z165" s="60"/>
      <c r="AA165" s="7"/>
      <c r="AB165" s="139"/>
      <c r="AC165" s="139"/>
      <c r="AD165" s="139"/>
      <c r="AE165" s="139"/>
      <c r="AF165" s="200">
        <v>11</v>
      </c>
    </row>
    <row r="166" spans="1:32" s="200" customFormat="1" ht="11.45" customHeight="1">
      <c r="A166" s="569"/>
      <c r="B166" s="65"/>
      <c r="C166" s="65"/>
      <c r="K166" s="60"/>
      <c r="L166" s="65"/>
      <c r="M166" s="65"/>
      <c r="N166" s="60"/>
      <c r="O166" s="60"/>
      <c r="P166" s="60"/>
      <c r="Q166" s="60"/>
      <c r="R166" s="65"/>
      <c r="S166" s="60"/>
      <c r="T166" s="60"/>
      <c r="U166" s="306"/>
      <c r="V166" s="60"/>
      <c r="W166" s="60"/>
      <c r="X166" s="60"/>
      <c r="Y166" s="60"/>
      <c r="Z166" s="60"/>
      <c r="AA166" s="7"/>
      <c r="AB166" s="139"/>
      <c r="AC166" s="139"/>
      <c r="AD166" s="139"/>
      <c r="AE166" s="139"/>
      <c r="AF166" s="200">
        <v>11</v>
      </c>
    </row>
    <row r="167" spans="1:32" s="200" customFormat="1" ht="11.45" customHeight="1">
      <c r="A167" s="569"/>
      <c r="B167" s="65"/>
      <c r="C167" s="65"/>
      <c r="K167" s="60"/>
      <c r="L167" s="65"/>
      <c r="M167" s="65"/>
      <c r="N167" s="60"/>
      <c r="O167" s="60"/>
      <c r="P167" s="60"/>
      <c r="Q167" s="60"/>
      <c r="R167" s="65"/>
      <c r="S167" s="60"/>
      <c r="T167" s="60"/>
      <c r="U167" s="306"/>
      <c r="V167" s="60"/>
      <c r="W167" s="60"/>
      <c r="X167" s="60"/>
      <c r="Y167" s="60"/>
      <c r="Z167" s="60"/>
      <c r="AA167" s="7"/>
      <c r="AB167" s="139"/>
      <c r="AC167" s="139"/>
      <c r="AD167" s="139"/>
      <c r="AE167" s="139"/>
      <c r="AF167" s="200">
        <v>11</v>
      </c>
    </row>
    <row r="168" spans="1:32" s="200" customFormat="1" ht="11.45" customHeight="1">
      <c r="A168" s="569"/>
      <c r="B168" s="65"/>
      <c r="C168" s="65"/>
      <c r="K168" s="60"/>
      <c r="L168" s="65"/>
      <c r="M168" s="65"/>
      <c r="N168" s="60"/>
      <c r="O168" s="60"/>
      <c r="P168" s="60"/>
      <c r="Q168" s="60"/>
      <c r="R168" s="65"/>
      <c r="S168" s="60"/>
      <c r="T168" s="60"/>
      <c r="U168" s="306"/>
      <c r="V168" s="60"/>
      <c r="W168" s="60"/>
      <c r="X168" s="60"/>
      <c r="Y168" s="60"/>
      <c r="Z168" s="60"/>
      <c r="AA168" s="7"/>
      <c r="AB168" s="139"/>
      <c r="AC168" s="139"/>
      <c r="AD168" s="139"/>
      <c r="AE168" s="139"/>
      <c r="AF168" s="200">
        <v>11</v>
      </c>
    </row>
    <row r="169" spans="1:32" s="200" customFormat="1" ht="11.45" customHeight="1">
      <c r="A169" s="569"/>
      <c r="B169" s="65"/>
      <c r="C169" s="65"/>
      <c r="K169" s="60"/>
      <c r="L169" s="65"/>
      <c r="M169" s="65"/>
      <c r="N169" s="60"/>
      <c r="O169" s="60"/>
      <c r="P169" s="60"/>
      <c r="Q169" s="60"/>
      <c r="R169" s="65"/>
      <c r="S169" s="60"/>
      <c r="T169" s="60"/>
      <c r="U169" s="306"/>
      <c r="V169" s="60"/>
      <c r="W169" s="60"/>
      <c r="X169" s="60"/>
      <c r="Y169" s="60"/>
      <c r="Z169" s="60"/>
      <c r="AA169" s="7"/>
      <c r="AB169" s="139"/>
      <c r="AC169" s="139"/>
      <c r="AD169" s="139"/>
      <c r="AE169" s="139"/>
      <c r="AF169" s="200">
        <v>11</v>
      </c>
    </row>
    <row r="170" spans="1:32" s="200" customFormat="1" ht="11.45" customHeight="1">
      <c r="A170" s="569"/>
      <c r="B170" s="65"/>
      <c r="C170" s="65"/>
      <c r="K170" s="60"/>
      <c r="L170" s="65"/>
      <c r="M170" s="65"/>
      <c r="N170" s="60"/>
      <c r="O170" s="60"/>
      <c r="P170" s="60"/>
      <c r="Q170" s="60"/>
      <c r="R170" s="65"/>
      <c r="S170" s="60"/>
      <c r="T170" s="60"/>
      <c r="U170" s="306"/>
      <c r="V170" s="60"/>
      <c r="W170" s="60"/>
      <c r="X170" s="60"/>
      <c r="Y170" s="60"/>
      <c r="Z170" s="60"/>
      <c r="AA170" s="7"/>
      <c r="AB170" s="139"/>
      <c r="AC170" s="139"/>
      <c r="AD170" s="139"/>
      <c r="AE170" s="139"/>
      <c r="AF170" s="200">
        <v>11</v>
      </c>
    </row>
    <row r="171" spans="1:32" s="200" customFormat="1" ht="11.45" customHeight="1">
      <c r="A171" s="569"/>
      <c r="B171" s="65"/>
      <c r="C171" s="65"/>
      <c r="K171" s="60"/>
      <c r="L171" s="65"/>
      <c r="M171" s="65"/>
      <c r="N171" s="60"/>
      <c r="O171" s="60"/>
      <c r="P171" s="60"/>
      <c r="Q171" s="60"/>
      <c r="R171" s="65"/>
      <c r="S171" s="60"/>
      <c r="T171" s="60"/>
      <c r="U171" s="306"/>
      <c r="V171" s="60"/>
      <c r="W171" s="60"/>
      <c r="X171" s="60"/>
      <c r="Y171" s="60"/>
      <c r="Z171" s="60"/>
      <c r="AA171" s="7"/>
      <c r="AB171" s="139"/>
      <c r="AC171" s="139"/>
      <c r="AD171" s="139"/>
      <c r="AE171" s="139"/>
      <c r="AF171" s="200">
        <v>11</v>
      </c>
    </row>
    <row r="172" spans="1:32" s="200" customFormat="1" ht="11.45" customHeight="1">
      <c r="A172" s="569"/>
      <c r="B172" s="65"/>
      <c r="C172" s="65"/>
      <c r="K172" s="60"/>
      <c r="L172" s="65"/>
      <c r="M172" s="65"/>
      <c r="N172" s="60"/>
      <c r="O172" s="60"/>
      <c r="P172" s="60"/>
      <c r="Q172" s="60"/>
      <c r="R172" s="65"/>
      <c r="S172" s="60"/>
      <c r="T172" s="60"/>
      <c r="U172" s="306"/>
      <c r="V172" s="60"/>
      <c r="W172" s="60"/>
      <c r="X172" s="60"/>
      <c r="Y172" s="60"/>
      <c r="Z172" s="60"/>
      <c r="AA172" s="7"/>
      <c r="AB172" s="139"/>
      <c r="AC172" s="139"/>
      <c r="AD172" s="139"/>
      <c r="AE172" s="139"/>
      <c r="AF172" s="200">
        <v>11</v>
      </c>
    </row>
    <row r="173" spans="1:32" s="200" customFormat="1" ht="11.45" customHeight="1">
      <c r="A173" s="569"/>
      <c r="B173" s="65"/>
      <c r="C173" s="65"/>
      <c r="K173" s="60"/>
      <c r="L173" s="65"/>
      <c r="M173" s="65"/>
      <c r="N173" s="60"/>
      <c r="O173" s="60"/>
      <c r="P173" s="60"/>
      <c r="Q173" s="60"/>
      <c r="R173" s="65"/>
      <c r="S173" s="60"/>
      <c r="T173" s="60"/>
      <c r="U173" s="306"/>
      <c r="V173" s="60"/>
      <c r="W173" s="60"/>
      <c r="X173" s="60"/>
      <c r="Y173" s="60"/>
      <c r="Z173" s="60"/>
      <c r="AA173" s="7"/>
      <c r="AB173" s="139"/>
      <c r="AC173" s="139"/>
      <c r="AD173" s="139"/>
      <c r="AE173" s="139"/>
      <c r="AF173" s="200">
        <v>11</v>
      </c>
    </row>
    <row r="174" spans="1:32" s="200" customFormat="1" ht="11.45" customHeight="1">
      <c r="A174" s="569"/>
      <c r="B174" s="65"/>
      <c r="C174" s="65"/>
      <c r="K174" s="60"/>
      <c r="L174" s="65"/>
      <c r="M174" s="65"/>
      <c r="N174" s="60"/>
      <c r="O174" s="60"/>
      <c r="P174" s="60"/>
      <c r="Q174" s="60"/>
      <c r="R174" s="65"/>
      <c r="S174" s="60"/>
      <c r="T174" s="60"/>
      <c r="U174" s="306"/>
      <c r="V174" s="60"/>
      <c r="W174" s="60"/>
      <c r="X174" s="60"/>
      <c r="Y174" s="60"/>
      <c r="Z174" s="60"/>
      <c r="AA174" s="7"/>
      <c r="AB174" s="139"/>
      <c r="AC174" s="139"/>
      <c r="AD174" s="139"/>
      <c r="AE174" s="139"/>
      <c r="AF174" s="200">
        <v>11</v>
      </c>
    </row>
    <row r="175" spans="1:32" s="200" customFormat="1" ht="11.45" customHeight="1">
      <c r="A175" s="569"/>
      <c r="B175" s="65"/>
      <c r="C175" s="65"/>
      <c r="K175" s="60"/>
      <c r="L175" s="65"/>
      <c r="M175" s="65"/>
      <c r="N175" s="60"/>
      <c r="O175" s="60"/>
      <c r="P175" s="60"/>
      <c r="Q175" s="60"/>
      <c r="R175" s="65"/>
      <c r="S175" s="60"/>
      <c r="T175" s="60"/>
      <c r="U175" s="306"/>
      <c r="V175" s="60"/>
      <c r="W175" s="60"/>
      <c r="X175" s="60"/>
      <c r="Y175" s="60"/>
      <c r="Z175" s="60"/>
      <c r="AA175" s="7"/>
      <c r="AB175" s="139"/>
      <c r="AC175" s="139"/>
      <c r="AD175" s="139"/>
      <c r="AE175" s="139"/>
      <c r="AF175" s="200">
        <v>11</v>
      </c>
    </row>
    <row r="176" spans="1:32" s="200" customFormat="1" ht="11.45" customHeight="1">
      <c r="A176" s="569"/>
      <c r="B176" s="65"/>
      <c r="C176" s="65"/>
      <c r="K176" s="60"/>
      <c r="L176" s="65"/>
      <c r="M176" s="65"/>
      <c r="N176" s="60"/>
      <c r="O176" s="60"/>
      <c r="P176" s="60"/>
      <c r="Q176" s="60"/>
      <c r="R176" s="65"/>
      <c r="S176" s="60"/>
      <c r="T176" s="60"/>
      <c r="U176" s="306"/>
      <c r="V176" s="60"/>
      <c r="W176" s="60"/>
      <c r="X176" s="60"/>
      <c r="Y176" s="60"/>
      <c r="Z176" s="60"/>
      <c r="AA176" s="7"/>
      <c r="AB176" s="139"/>
      <c r="AC176" s="139"/>
      <c r="AD176" s="139"/>
      <c r="AE176" s="139"/>
      <c r="AF176" s="200">
        <v>11</v>
      </c>
    </row>
    <row r="177" spans="1:32" s="200" customFormat="1" ht="11.45" customHeight="1">
      <c r="A177" s="569"/>
      <c r="B177" s="65"/>
      <c r="C177" s="65"/>
      <c r="K177" s="60"/>
      <c r="L177" s="65"/>
      <c r="M177" s="65"/>
      <c r="N177" s="60"/>
      <c r="O177" s="60"/>
      <c r="P177" s="60"/>
      <c r="Q177" s="60"/>
      <c r="R177" s="65"/>
      <c r="S177" s="60"/>
      <c r="T177" s="60"/>
      <c r="U177" s="306"/>
      <c r="V177" s="60"/>
      <c r="W177" s="60"/>
      <c r="X177" s="60"/>
      <c r="Y177" s="60"/>
      <c r="Z177" s="60"/>
      <c r="AA177" s="7"/>
      <c r="AB177" s="139"/>
      <c r="AC177" s="139"/>
      <c r="AD177" s="139"/>
      <c r="AE177" s="139"/>
      <c r="AF177" s="200">
        <v>11</v>
      </c>
    </row>
    <row r="178" spans="1:32" s="200" customFormat="1" ht="11.45" customHeight="1">
      <c r="A178" s="569"/>
      <c r="B178" s="65"/>
      <c r="C178" s="65"/>
      <c r="K178" s="60"/>
      <c r="L178" s="65"/>
      <c r="M178" s="65"/>
      <c r="N178" s="60"/>
      <c r="O178" s="60"/>
      <c r="P178" s="60"/>
      <c r="Q178" s="60"/>
      <c r="R178" s="65"/>
      <c r="S178" s="60"/>
      <c r="T178" s="60"/>
      <c r="U178" s="306"/>
      <c r="V178" s="60"/>
      <c r="W178" s="60"/>
      <c r="X178" s="60"/>
      <c r="Y178" s="60"/>
      <c r="Z178" s="60"/>
      <c r="AA178" s="7"/>
      <c r="AB178" s="139"/>
      <c r="AC178" s="139"/>
      <c r="AD178" s="139"/>
      <c r="AE178" s="139"/>
      <c r="AF178" s="200">
        <v>11</v>
      </c>
    </row>
    <row r="179" spans="1:32" s="200" customFormat="1" ht="11.45" customHeight="1">
      <c r="A179" s="569"/>
      <c r="B179" s="65"/>
      <c r="C179" s="65"/>
      <c r="K179" s="60"/>
      <c r="L179" s="65"/>
      <c r="M179" s="65"/>
      <c r="N179" s="60"/>
      <c r="O179" s="60"/>
      <c r="P179" s="60"/>
      <c r="Q179" s="60"/>
      <c r="R179" s="65"/>
      <c r="S179" s="60"/>
      <c r="T179" s="60"/>
      <c r="U179" s="306"/>
      <c r="V179" s="60"/>
      <c r="W179" s="60"/>
      <c r="X179" s="60"/>
      <c r="Y179" s="60"/>
      <c r="Z179" s="60"/>
      <c r="AA179" s="7"/>
      <c r="AB179" s="139"/>
      <c r="AC179" s="139"/>
      <c r="AD179" s="139"/>
      <c r="AE179" s="139"/>
      <c r="AF179" s="200">
        <v>11</v>
      </c>
    </row>
    <row r="180" spans="1:32" s="200" customFormat="1" ht="11.45" customHeight="1">
      <c r="A180" s="569"/>
      <c r="B180" s="65"/>
      <c r="C180" s="65"/>
      <c r="K180" s="60"/>
      <c r="L180" s="65"/>
      <c r="M180" s="65"/>
      <c r="N180" s="60"/>
      <c r="O180" s="60"/>
      <c r="P180" s="60"/>
      <c r="Q180" s="60"/>
      <c r="R180" s="65"/>
      <c r="S180" s="60"/>
      <c r="T180" s="60"/>
      <c r="U180" s="306"/>
      <c r="V180" s="60"/>
      <c r="W180" s="60"/>
      <c r="X180" s="60"/>
      <c r="Y180" s="60"/>
      <c r="Z180" s="60"/>
      <c r="AA180" s="7"/>
      <c r="AB180" s="139"/>
      <c r="AC180" s="139"/>
      <c r="AD180" s="139"/>
      <c r="AE180" s="139"/>
      <c r="AF180" s="200">
        <v>11</v>
      </c>
    </row>
    <row r="181" spans="1:32" s="200" customFormat="1" ht="11.45" customHeight="1">
      <c r="A181" s="569"/>
      <c r="B181" s="65"/>
      <c r="C181" s="65"/>
      <c r="K181" s="60"/>
      <c r="L181" s="65"/>
      <c r="M181" s="65"/>
      <c r="N181" s="60"/>
      <c r="O181" s="60"/>
      <c r="P181" s="60"/>
      <c r="Q181" s="60"/>
      <c r="R181" s="65"/>
      <c r="S181" s="60"/>
      <c r="T181" s="60"/>
      <c r="U181" s="306"/>
      <c r="V181" s="60"/>
      <c r="W181" s="60"/>
      <c r="X181" s="60"/>
      <c r="Y181" s="60"/>
      <c r="Z181" s="60"/>
      <c r="AA181" s="7"/>
      <c r="AB181" s="139"/>
      <c r="AC181" s="139"/>
      <c r="AD181" s="139"/>
      <c r="AE181" s="139"/>
      <c r="AF181" s="200">
        <v>11</v>
      </c>
    </row>
    <row r="182" spans="1:32" s="200" customFormat="1" ht="11.45" customHeight="1">
      <c r="A182" s="569"/>
      <c r="B182" s="65"/>
      <c r="C182" s="65"/>
      <c r="K182" s="60"/>
      <c r="L182" s="65"/>
      <c r="M182" s="65"/>
      <c r="N182" s="60"/>
      <c r="O182" s="60"/>
      <c r="P182" s="60"/>
      <c r="Q182" s="60"/>
      <c r="R182" s="65"/>
      <c r="S182" s="60"/>
      <c r="T182" s="60"/>
      <c r="U182" s="306"/>
      <c r="V182" s="60"/>
      <c r="W182" s="60"/>
      <c r="X182" s="60"/>
      <c r="Y182" s="60"/>
      <c r="Z182" s="60"/>
      <c r="AA182" s="7"/>
      <c r="AB182" s="139"/>
      <c r="AC182" s="139"/>
      <c r="AD182" s="139"/>
      <c r="AE182" s="139"/>
      <c r="AF182" s="200">
        <v>11</v>
      </c>
    </row>
    <row r="183" spans="1:32" s="200" customFormat="1" ht="11.45" customHeight="1">
      <c r="A183" s="569"/>
      <c r="B183" s="65"/>
      <c r="C183" s="65"/>
      <c r="K183" s="60"/>
      <c r="L183" s="65"/>
      <c r="M183" s="65"/>
      <c r="N183" s="60"/>
      <c r="O183" s="60"/>
      <c r="P183" s="60"/>
      <c r="Q183" s="60"/>
      <c r="R183" s="65"/>
      <c r="S183" s="60"/>
      <c r="T183" s="60"/>
      <c r="U183" s="306"/>
      <c r="V183" s="60"/>
      <c r="W183" s="60"/>
      <c r="X183" s="60"/>
      <c r="Y183" s="60"/>
      <c r="Z183" s="60"/>
      <c r="AA183" s="7"/>
      <c r="AB183" s="139"/>
      <c r="AC183" s="139"/>
      <c r="AD183" s="139"/>
      <c r="AE183" s="139"/>
      <c r="AF183" s="200">
        <v>11</v>
      </c>
    </row>
    <row r="184" spans="1:32" s="200" customFormat="1" ht="11.45" customHeight="1">
      <c r="A184" s="569"/>
      <c r="B184" s="65"/>
      <c r="C184" s="65"/>
      <c r="K184" s="60"/>
      <c r="L184" s="65"/>
      <c r="M184" s="65"/>
      <c r="N184" s="60"/>
      <c r="O184" s="60"/>
      <c r="P184" s="60"/>
      <c r="Q184" s="60"/>
      <c r="R184" s="65"/>
      <c r="S184" s="60"/>
      <c r="T184" s="60"/>
      <c r="U184" s="306"/>
      <c r="V184" s="60"/>
      <c r="W184" s="60"/>
      <c r="X184" s="60"/>
      <c r="Y184" s="60"/>
      <c r="Z184" s="60"/>
      <c r="AA184" s="7"/>
      <c r="AB184" s="139"/>
      <c r="AC184" s="139"/>
      <c r="AD184" s="139"/>
      <c r="AE184" s="139"/>
      <c r="AF184" s="200">
        <v>11</v>
      </c>
    </row>
    <row r="185" spans="1:32" s="200" customFormat="1" ht="11.45" customHeight="1">
      <c r="A185" s="569"/>
      <c r="B185" s="65"/>
      <c r="C185" s="65"/>
      <c r="K185" s="60"/>
      <c r="L185" s="65"/>
      <c r="M185" s="65"/>
      <c r="N185" s="60"/>
      <c r="O185" s="60"/>
      <c r="P185" s="60"/>
      <c r="Q185" s="60"/>
      <c r="R185" s="65"/>
      <c r="S185" s="60"/>
      <c r="T185" s="60"/>
      <c r="U185" s="306"/>
      <c r="V185" s="60"/>
      <c r="W185" s="60"/>
      <c r="X185" s="60"/>
      <c r="Y185" s="60"/>
      <c r="Z185" s="60"/>
      <c r="AA185" s="7"/>
      <c r="AB185" s="139"/>
      <c r="AC185" s="139"/>
      <c r="AD185" s="139"/>
      <c r="AE185" s="139"/>
      <c r="AF185" s="200">
        <v>11</v>
      </c>
    </row>
    <row r="186" spans="1:32" s="200" customFormat="1" ht="11.45" customHeight="1">
      <c r="A186" s="569"/>
      <c r="B186" s="65"/>
      <c r="C186" s="65"/>
      <c r="K186" s="60"/>
      <c r="L186" s="65"/>
      <c r="M186" s="65"/>
      <c r="N186" s="60"/>
      <c r="O186" s="60"/>
      <c r="P186" s="60"/>
      <c r="Q186" s="60"/>
      <c r="R186" s="65"/>
      <c r="S186" s="60"/>
      <c r="T186" s="60"/>
      <c r="U186" s="306"/>
      <c r="V186" s="60"/>
      <c r="W186" s="60"/>
      <c r="X186" s="60"/>
      <c r="Y186" s="60"/>
      <c r="Z186" s="60"/>
      <c r="AA186" s="7"/>
      <c r="AB186" s="139"/>
      <c r="AC186" s="139"/>
      <c r="AD186" s="139"/>
      <c r="AE186" s="139"/>
      <c r="AF186" s="200">
        <v>11</v>
      </c>
    </row>
    <row r="187" spans="1:32" s="200" customFormat="1" ht="11.45" customHeight="1">
      <c r="A187" s="569"/>
      <c r="B187" s="65"/>
      <c r="C187" s="65"/>
      <c r="K187" s="60"/>
      <c r="L187" s="65"/>
      <c r="M187" s="65"/>
      <c r="N187" s="60"/>
      <c r="O187" s="60"/>
      <c r="P187" s="60"/>
      <c r="Q187" s="60"/>
      <c r="R187" s="65"/>
      <c r="S187" s="60"/>
      <c r="T187" s="60"/>
      <c r="U187" s="306"/>
      <c r="V187" s="60"/>
      <c r="W187" s="60"/>
      <c r="X187" s="60"/>
      <c r="Y187" s="60"/>
      <c r="Z187" s="60"/>
      <c r="AA187" s="7"/>
      <c r="AB187" s="139"/>
      <c r="AC187" s="139"/>
      <c r="AD187" s="139"/>
      <c r="AE187" s="139"/>
      <c r="AF187" s="200">
        <v>11</v>
      </c>
    </row>
    <row r="188" spans="1:32" s="200" customFormat="1" ht="11.45" customHeight="1">
      <c r="A188" s="569"/>
      <c r="B188" s="65"/>
      <c r="C188" s="65"/>
      <c r="K188" s="60"/>
      <c r="L188" s="65"/>
      <c r="M188" s="65"/>
      <c r="N188" s="60"/>
      <c r="O188" s="60"/>
      <c r="P188" s="60"/>
      <c r="Q188" s="60"/>
      <c r="R188" s="65"/>
      <c r="S188" s="60"/>
      <c r="T188" s="60"/>
      <c r="U188" s="306"/>
      <c r="V188" s="60"/>
      <c r="W188" s="60"/>
      <c r="X188" s="60"/>
      <c r="Y188" s="60"/>
      <c r="Z188" s="60"/>
      <c r="AA188" s="7"/>
      <c r="AB188" s="139"/>
      <c r="AC188" s="139"/>
      <c r="AD188" s="139"/>
      <c r="AE188" s="139"/>
      <c r="AF188" s="200">
        <v>11</v>
      </c>
    </row>
    <row r="189" spans="1:32" s="200" customFormat="1" ht="11.45" customHeight="1">
      <c r="A189" s="569"/>
      <c r="B189" s="65"/>
      <c r="C189" s="65"/>
      <c r="K189" s="60"/>
      <c r="L189" s="65"/>
      <c r="M189" s="65"/>
      <c r="N189" s="60"/>
      <c r="O189" s="60"/>
      <c r="P189" s="60"/>
      <c r="Q189" s="60"/>
      <c r="R189" s="65"/>
      <c r="S189" s="60"/>
      <c r="T189" s="60"/>
      <c r="U189" s="306"/>
      <c r="V189" s="60"/>
      <c r="W189" s="60"/>
      <c r="X189" s="60"/>
      <c r="Y189" s="60"/>
      <c r="Z189" s="60"/>
      <c r="AA189" s="7"/>
      <c r="AB189" s="139"/>
      <c r="AC189" s="139"/>
      <c r="AD189" s="139"/>
      <c r="AE189" s="139"/>
      <c r="AF189" s="200">
        <v>11</v>
      </c>
    </row>
    <row r="190" spans="1:32" s="200" customFormat="1" ht="11.45" customHeight="1">
      <c r="A190" s="569"/>
      <c r="B190" s="65"/>
      <c r="C190" s="65"/>
      <c r="K190" s="60"/>
      <c r="L190" s="65"/>
      <c r="M190" s="65"/>
      <c r="N190" s="60"/>
      <c r="O190" s="60"/>
      <c r="P190" s="60"/>
      <c r="Q190" s="60"/>
      <c r="R190" s="65"/>
      <c r="S190" s="60"/>
      <c r="T190" s="60"/>
      <c r="U190" s="306"/>
      <c r="V190" s="60"/>
      <c r="W190" s="60"/>
      <c r="X190" s="60"/>
      <c r="Y190" s="60"/>
      <c r="Z190" s="60"/>
      <c r="AA190" s="7"/>
      <c r="AB190" s="139"/>
      <c r="AC190" s="139"/>
      <c r="AD190" s="139"/>
      <c r="AE190" s="139"/>
      <c r="AF190" s="200">
        <v>11</v>
      </c>
    </row>
    <row r="191" spans="1:32" s="200" customFormat="1" ht="11.45" customHeight="1">
      <c r="A191" s="569"/>
      <c r="B191" s="65"/>
      <c r="C191" s="65"/>
      <c r="K191" s="60"/>
      <c r="L191" s="65"/>
      <c r="M191" s="65"/>
      <c r="N191" s="60"/>
      <c r="O191" s="60"/>
      <c r="P191" s="60"/>
      <c r="Q191" s="60"/>
      <c r="R191" s="65"/>
      <c r="S191" s="60"/>
      <c r="T191" s="60"/>
      <c r="U191" s="306"/>
      <c r="V191" s="60"/>
      <c r="W191" s="60"/>
      <c r="X191" s="60"/>
      <c r="Y191" s="60"/>
      <c r="Z191" s="60"/>
      <c r="AA191" s="7"/>
      <c r="AB191" s="139"/>
      <c r="AC191" s="139"/>
      <c r="AD191" s="139"/>
      <c r="AE191" s="139"/>
      <c r="AF191" s="200">
        <v>11</v>
      </c>
    </row>
    <row r="192" spans="1:32" s="200" customFormat="1" ht="11.45" customHeight="1">
      <c r="A192" s="569"/>
      <c r="B192" s="65"/>
      <c r="C192" s="65"/>
      <c r="K192" s="60"/>
      <c r="L192" s="65"/>
      <c r="M192" s="65"/>
      <c r="N192" s="60"/>
      <c r="O192" s="60"/>
      <c r="P192" s="60"/>
      <c r="Q192" s="60"/>
      <c r="R192" s="65"/>
      <c r="S192" s="60"/>
      <c r="T192" s="60"/>
      <c r="U192" s="306"/>
      <c r="V192" s="60"/>
      <c r="W192" s="60"/>
      <c r="X192" s="60"/>
      <c r="Y192" s="60"/>
      <c r="Z192" s="60"/>
      <c r="AA192" s="7"/>
      <c r="AB192" s="139"/>
      <c r="AC192" s="139"/>
      <c r="AD192" s="139"/>
      <c r="AE192" s="139"/>
      <c r="AF192" s="200">
        <v>11</v>
      </c>
    </row>
    <row r="193" spans="1:32" s="200" customFormat="1" ht="11.45" customHeight="1">
      <c r="A193" s="569"/>
      <c r="B193" s="65"/>
      <c r="C193" s="65"/>
      <c r="K193" s="60"/>
      <c r="L193" s="65"/>
      <c r="M193" s="65"/>
      <c r="N193" s="60"/>
      <c r="O193" s="60"/>
      <c r="P193" s="60"/>
      <c r="Q193" s="60"/>
      <c r="R193" s="65"/>
      <c r="S193" s="60"/>
      <c r="T193" s="60"/>
      <c r="U193" s="306"/>
      <c r="V193" s="60"/>
      <c r="W193" s="60"/>
      <c r="X193" s="60"/>
      <c r="Y193" s="60"/>
      <c r="Z193" s="60"/>
      <c r="AA193" s="7"/>
      <c r="AB193" s="139"/>
      <c r="AC193" s="139"/>
      <c r="AD193" s="139"/>
      <c r="AE193" s="139"/>
      <c r="AF193" s="200">
        <v>11</v>
      </c>
    </row>
    <row r="194" spans="1:32" s="200" customFormat="1" ht="11.45" customHeight="1">
      <c r="A194" s="569"/>
      <c r="B194" s="65"/>
      <c r="C194" s="65"/>
      <c r="K194" s="60"/>
      <c r="L194" s="65"/>
      <c r="M194" s="65"/>
      <c r="N194" s="60"/>
      <c r="O194" s="60"/>
      <c r="P194" s="60"/>
      <c r="Q194" s="60"/>
      <c r="R194" s="65"/>
      <c r="S194" s="60"/>
      <c r="T194" s="60"/>
      <c r="U194" s="306"/>
      <c r="V194" s="60"/>
      <c r="W194" s="60"/>
      <c r="X194" s="60"/>
      <c r="Y194" s="60"/>
      <c r="Z194" s="60"/>
      <c r="AA194" s="7"/>
      <c r="AB194" s="139"/>
      <c r="AC194" s="139"/>
      <c r="AD194" s="139"/>
      <c r="AE194" s="139"/>
      <c r="AF194" s="200">
        <v>11</v>
      </c>
    </row>
    <row r="195" spans="1:32" s="200" customFormat="1" ht="11.45" customHeight="1">
      <c r="A195" s="569"/>
      <c r="B195" s="65"/>
      <c r="C195" s="65"/>
      <c r="K195" s="60"/>
      <c r="L195" s="65"/>
      <c r="M195" s="65"/>
      <c r="N195" s="60"/>
      <c r="O195" s="60"/>
      <c r="P195" s="60"/>
      <c r="Q195" s="60"/>
      <c r="R195" s="65"/>
      <c r="S195" s="60"/>
      <c r="T195" s="60"/>
      <c r="U195" s="306"/>
      <c r="V195" s="60"/>
      <c r="W195" s="60"/>
      <c r="X195" s="60"/>
      <c r="Y195" s="60"/>
      <c r="Z195" s="60"/>
      <c r="AA195" s="7"/>
      <c r="AB195" s="139"/>
      <c r="AC195" s="139"/>
      <c r="AD195" s="139"/>
      <c r="AE195" s="139"/>
      <c r="AF195" s="200">
        <v>11</v>
      </c>
    </row>
    <row r="196" spans="1:32" s="200" customFormat="1" ht="11.45" customHeight="1">
      <c r="A196" s="569"/>
      <c r="B196" s="65"/>
      <c r="C196" s="65"/>
      <c r="K196" s="60"/>
      <c r="L196" s="65"/>
      <c r="M196" s="65"/>
      <c r="N196" s="60"/>
      <c r="O196" s="60"/>
      <c r="P196" s="60"/>
      <c r="Q196" s="60"/>
      <c r="R196" s="65"/>
      <c r="S196" s="60"/>
      <c r="T196" s="60"/>
      <c r="U196" s="306"/>
      <c r="V196" s="60"/>
      <c r="W196" s="60"/>
      <c r="X196" s="60"/>
      <c r="Y196" s="60"/>
      <c r="Z196" s="60"/>
      <c r="AA196" s="7"/>
      <c r="AB196" s="139"/>
      <c r="AC196" s="139"/>
      <c r="AD196" s="139"/>
      <c r="AE196" s="139"/>
      <c r="AF196" s="200">
        <v>11</v>
      </c>
    </row>
    <row r="197" spans="1:32" s="200" customFormat="1" ht="11.45" customHeight="1">
      <c r="A197" s="569"/>
      <c r="B197" s="65"/>
      <c r="C197" s="65"/>
      <c r="K197" s="60"/>
      <c r="L197" s="65"/>
      <c r="M197" s="65"/>
      <c r="N197" s="60"/>
      <c r="O197" s="60"/>
      <c r="P197" s="60"/>
      <c r="Q197" s="60"/>
      <c r="R197" s="65"/>
      <c r="S197" s="60"/>
      <c r="T197" s="60"/>
      <c r="U197" s="306"/>
      <c r="V197" s="60"/>
      <c r="W197" s="60"/>
      <c r="X197" s="60"/>
      <c r="Y197" s="60"/>
      <c r="Z197" s="60"/>
      <c r="AA197" s="7"/>
      <c r="AB197" s="139"/>
      <c r="AC197" s="139"/>
      <c r="AD197" s="139"/>
      <c r="AE197" s="139"/>
      <c r="AF197" s="200">
        <v>11</v>
      </c>
    </row>
    <row r="198" spans="1:32" s="200" customFormat="1" ht="11.45" customHeight="1">
      <c r="A198" s="569"/>
      <c r="B198" s="65"/>
      <c r="C198" s="65"/>
      <c r="K198" s="60"/>
      <c r="L198" s="65"/>
      <c r="M198" s="65"/>
      <c r="N198" s="60"/>
      <c r="O198" s="60"/>
      <c r="P198" s="60"/>
      <c r="Q198" s="60"/>
      <c r="R198" s="65"/>
      <c r="S198" s="60"/>
      <c r="T198" s="60"/>
      <c r="U198" s="306"/>
      <c r="V198" s="60"/>
      <c r="W198" s="60"/>
      <c r="X198" s="60"/>
      <c r="Y198" s="60"/>
      <c r="Z198" s="60"/>
      <c r="AA198" s="7"/>
      <c r="AB198" s="139"/>
      <c r="AC198" s="139"/>
      <c r="AD198" s="139"/>
      <c r="AE198" s="139"/>
      <c r="AF198" s="200">
        <v>11</v>
      </c>
    </row>
    <row r="199" spans="1:32" s="200" customFormat="1" ht="11.45" customHeight="1">
      <c r="A199" s="569"/>
      <c r="B199" s="65"/>
      <c r="C199" s="65"/>
      <c r="K199" s="60"/>
      <c r="L199" s="65"/>
      <c r="M199" s="65"/>
      <c r="N199" s="60"/>
      <c r="O199" s="60"/>
      <c r="P199" s="60"/>
      <c r="Q199" s="60"/>
      <c r="R199" s="65"/>
      <c r="S199" s="60"/>
      <c r="T199" s="60"/>
      <c r="U199" s="306"/>
      <c r="V199" s="60"/>
      <c r="W199" s="60"/>
      <c r="X199" s="60"/>
      <c r="Y199" s="60"/>
      <c r="Z199" s="60"/>
      <c r="AA199" s="7"/>
      <c r="AB199" s="139"/>
      <c r="AC199" s="139"/>
      <c r="AD199" s="139"/>
      <c r="AE199" s="139"/>
      <c r="AF199" s="200">
        <v>11</v>
      </c>
    </row>
    <row r="200" spans="1:32" s="200" customFormat="1" ht="11.45" customHeight="1">
      <c r="A200" s="569"/>
      <c r="B200" s="65"/>
      <c r="C200" s="65"/>
      <c r="K200" s="60"/>
      <c r="L200" s="65"/>
      <c r="M200" s="65"/>
      <c r="N200" s="60"/>
      <c r="O200" s="60"/>
      <c r="P200" s="60"/>
      <c r="Q200" s="60"/>
      <c r="R200" s="65"/>
      <c r="S200" s="60"/>
      <c r="T200" s="60"/>
      <c r="U200" s="306"/>
      <c r="V200" s="60"/>
      <c r="W200" s="60"/>
      <c r="X200" s="60"/>
      <c r="Y200" s="60"/>
      <c r="Z200" s="60"/>
      <c r="AA200" s="7"/>
      <c r="AB200" s="139"/>
      <c r="AC200" s="139"/>
      <c r="AD200" s="139"/>
      <c r="AE200" s="139"/>
      <c r="AF200" s="200">
        <v>11</v>
      </c>
    </row>
    <row r="201" spans="1:32" s="200" customFormat="1" ht="11.45" customHeight="1">
      <c r="A201" s="569"/>
      <c r="B201" s="65"/>
      <c r="C201" s="65"/>
      <c r="K201" s="60"/>
      <c r="L201" s="65"/>
      <c r="M201" s="65"/>
      <c r="N201" s="60"/>
      <c r="O201" s="60"/>
      <c r="P201" s="60"/>
      <c r="Q201" s="60"/>
      <c r="R201" s="65"/>
      <c r="S201" s="60"/>
      <c r="T201" s="60"/>
      <c r="U201" s="306"/>
      <c r="V201" s="60"/>
      <c r="W201" s="60"/>
      <c r="X201" s="60"/>
      <c r="Y201" s="60"/>
      <c r="Z201" s="60"/>
      <c r="AA201" s="7"/>
      <c r="AB201" s="139"/>
      <c r="AC201" s="139"/>
      <c r="AD201" s="139"/>
      <c r="AE201" s="139"/>
      <c r="AF201" s="200">
        <v>11</v>
      </c>
    </row>
    <row r="202" spans="1:32" s="200" customFormat="1" ht="11.45" customHeight="1">
      <c r="A202" s="569"/>
      <c r="B202" s="65"/>
      <c r="C202" s="65"/>
      <c r="K202" s="60"/>
      <c r="L202" s="65"/>
      <c r="M202" s="65"/>
      <c r="N202" s="60"/>
      <c r="O202" s="60"/>
      <c r="P202" s="60"/>
      <c r="Q202" s="60"/>
      <c r="R202" s="65"/>
      <c r="S202" s="60"/>
      <c r="T202" s="60"/>
      <c r="U202" s="306"/>
      <c r="V202" s="60"/>
      <c r="W202" s="60"/>
      <c r="X202" s="60"/>
      <c r="Y202" s="60"/>
      <c r="Z202" s="60"/>
      <c r="AA202" s="7"/>
      <c r="AB202" s="139"/>
      <c r="AC202" s="139"/>
      <c r="AD202" s="139"/>
      <c r="AE202" s="139"/>
      <c r="AF202" s="200">
        <v>11</v>
      </c>
    </row>
    <row r="203" spans="1:32" ht="11.45" customHeight="1">
      <c r="AF203" s="10">
        <v>11</v>
      </c>
    </row>
    <row r="204" spans="1:32" ht="11.45" customHeight="1">
      <c r="AF204" s="10">
        <v>11</v>
      </c>
    </row>
    <row r="205" spans="1:32" ht="11.45" customHeight="1">
      <c r="AF205" s="10">
        <v>11</v>
      </c>
    </row>
    <row r="206" spans="1:32" ht="11.45" customHeight="1">
      <c r="A206" s="572"/>
      <c r="B206" s="10"/>
      <c r="K206" s="10"/>
      <c r="N206" s="10"/>
      <c r="O206" s="10"/>
      <c r="P206" s="10"/>
      <c r="Q206" s="10"/>
      <c r="S206" s="10"/>
      <c r="T206" s="10"/>
      <c r="U206" s="10"/>
      <c r="V206" s="10"/>
      <c r="W206" s="10"/>
      <c r="X206" s="10"/>
      <c r="Y206" s="10"/>
      <c r="Z206" s="10"/>
      <c r="AA206" s="10"/>
      <c r="AB206" s="10"/>
      <c r="AC206" s="10"/>
      <c r="AD206" s="10"/>
      <c r="AE206" s="10"/>
      <c r="AF206" s="10">
        <v>11</v>
      </c>
    </row>
    <row r="207" spans="1:32" ht="11.45" customHeight="1">
      <c r="A207" s="572"/>
      <c r="B207" s="10"/>
      <c r="K207" s="10"/>
      <c r="N207" s="10"/>
      <c r="O207" s="10"/>
      <c r="P207" s="10"/>
      <c r="Q207" s="10"/>
      <c r="S207" s="10"/>
      <c r="T207" s="10"/>
      <c r="U207" s="10"/>
      <c r="V207" s="10"/>
      <c r="W207" s="10"/>
      <c r="X207" s="10"/>
      <c r="Y207" s="10"/>
      <c r="Z207" s="10"/>
      <c r="AA207" s="10"/>
      <c r="AB207" s="10"/>
      <c r="AC207" s="10"/>
      <c r="AD207" s="10"/>
      <c r="AE207" s="10"/>
      <c r="AF207" s="10">
        <v>11</v>
      </c>
    </row>
    <row r="208" spans="1:32" ht="11.45" customHeight="1">
      <c r="A208" s="572"/>
      <c r="B208" s="10"/>
      <c r="K208" s="10"/>
      <c r="N208" s="10"/>
      <c r="O208" s="10"/>
      <c r="P208" s="10"/>
      <c r="Q208" s="10"/>
      <c r="S208" s="10"/>
      <c r="T208" s="10"/>
      <c r="U208" s="10"/>
      <c r="V208" s="10"/>
      <c r="W208" s="10"/>
      <c r="X208" s="10"/>
      <c r="Y208" s="10"/>
      <c r="Z208" s="10"/>
      <c r="AA208" s="10"/>
      <c r="AB208" s="10"/>
      <c r="AC208" s="10"/>
      <c r="AD208" s="10"/>
      <c r="AE208" s="10"/>
      <c r="AF208" s="10">
        <v>11</v>
      </c>
    </row>
    <row r="209" spans="1:32" ht="11.45" customHeight="1">
      <c r="A209" s="572"/>
      <c r="B209" s="10"/>
      <c r="K209" s="10"/>
      <c r="N209" s="10"/>
      <c r="O209" s="10"/>
      <c r="P209" s="10"/>
      <c r="Q209" s="10"/>
      <c r="S209" s="10"/>
      <c r="T209" s="10"/>
      <c r="U209" s="10"/>
      <c r="V209" s="10"/>
      <c r="W209" s="10"/>
      <c r="X209" s="10"/>
      <c r="Y209" s="10"/>
      <c r="Z209" s="10"/>
      <c r="AA209" s="10"/>
      <c r="AB209" s="10"/>
      <c r="AC209" s="10"/>
      <c r="AD209" s="10"/>
      <c r="AE209" s="10"/>
      <c r="AF209" s="10">
        <v>11</v>
      </c>
    </row>
    <row r="210" spans="1:32" ht="11.45" customHeight="1">
      <c r="A210" s="572"/>
      <c r="B210" s="10"/>
      <c r="K210" s="10"/>
      <c r="N210" s="10"/>
      <c r="O210" s="10"/>
      <c r="P210" s="10"/>
      <c r="Q210" s="10"/>
      <c r="S210" s="10"/>
      <c r="T210" s="10"/>
      <c r="U210" s="10"/>
      <c r="V210" s="10"/>
      <c r="W210" s="10"/>
      <c r="X210" s="10"/>
      <c r="Y210" s="10"/>
      <c r="Z210" s="10"/>
      <c r="AA210" s="10"/>
      <c r="AB210" s="10"/>
      <c r="AC210" s="10"/>
      <c r="AD210" s="10"/>
      <c r="AE210" s="10"/>
      <c r="AF210" s="10">
        <v>11</v>
      </c>
    </row>
    <row r="211" spans="1:32" ht="11.45" customHeight="1">
      <c r="A211" s="572"/>
      <c r="B211" s="10"/>
      <c r="K211" s="10"/>
      <c r="N211" s="10"/>
      <c r="O211" s="10"/>
      <c r="P211" s="10"/>
      <c r="Q211" s="10"/>
      <c r="S211" s="10"/>
      <c r="T211" s="10"/>
      <c r="U211" s="10"/>
      <c r="V211" s="10"/>
      <c r="W211" s="10"/>
      <c r="X211" s="10"/>
      <c r="Y211" s="10"/>
      <c r="Z211" s="10"/>
      <c r="AA211" s="10"/>
      <c r="AB211" s="10"/>
      <c r="AC211" s="10"/>
      <c r="AD211" s="10"/>
      <c r="AE211" s="10"/>
      <c r="AF211" s="10">
        <v>11</v>
      </c>
    </row>
    <row r="212" spans="1:32" ht="11.45" customHeight="1">
      <c r="A212" s="572"/>
      <c r="B212" s="10"/>
      <c r="K212" s="10"/>
      <c r="N212" s="10"/>
      <c r="O212" s="10"/>
      <c r="P212" s="10"/>
      <c r="Q212" s="10"/>
      <c r="S212" s="10"/>
      <c r="T212" s="10"/>
      <c r="U212" s="10"/>
      <c r="V212" s="10"/>
      <c r="W212" s="10"/>
      <c r="X212" s="10"/>
      <c r="Y212" s="10"/>
      <c r="Z212" s="10"/>
      <c r="AA212" s="10"/>
      <c r="AB212" s="10"/>
      <c r="AC212" s="10"/>
      <c r="AD212" s="10"/>
      <c r="AE212" s="10"/>
      <c r="AF212" s="10">
        <v>11</v>
      </c>
    </row>
    <row r="213" spans="1:32" ht="11.45" customHeight="1">
      <c r="A213" s="572"/>
      <c r="B213" s="10"/>
      <c r="K213" s="10"/>
      <c r="N213" s="10"/>
      <c r="O213" s="10"/>
      <c r="P213" s="10"/>
      <c r="Q213" s="10"/>
      <c r="S213" s="10"/>
      <c r="T213" s="10"/>
      <c r="U213" s="10"/>
      <c r="V213" s="10"/>
      <c r="W213" s="10"/>
      <c r="X213" s="10"/>
      <c r="Y213" s="10"/>
      <c r="Z213" s="10"/>
      <c r="AA213" s="10"/>
      <c r="AB213" s="10"/>
      <c r="AC213" s="10"/>
      <c r="AD213" s="10"/>
      <c r="AE213" s="10"/>
      <c r="AF213" s="10">
        <v>11</v>
      </c>
    </row>
    <row r="214" spans="1:32" ht="11.45" customHeight="1">
      <c r="A214" s="572"/>
      <c r="B214" s="10"/>
      <c r="K214" s="10"/>
      <c r="N214" s="10"/>
      <c r="O214" s="10"/>
      <c r="P214" s="10"/>
      <c r="Q214" s="10"/>
      <c r="S214" s="10"/>
      <c r="T214" s="10"/>
      <c r="U214" s="10"/>
      <c r="V214" s="10"/>
      <c r="W214" s="10"/>
      <c r="X214" s="10"/>
      <c r="Y214" s="10"/>
      <c r="Z214" s="10"/>
      <c r="AA214" s="10"/>
      <c r="AB214" s="10"/>
      <c r="AC214" s="10"/>
      <c r="AD214" s="10"/>
      <c r="AE214" s="10"/>
      <c r="AF214" s="10">
        <v>11</v>
      </c>
    </row>
    <row r="215" spans="1:32" ht="11.45" customHeight="1">
      <c r="A215" s="572"/>
      <c r="B215" s="10"/>
      <c r="K215" s="10"/>
      <c r="N215" s="10"/>
      <c r="O215" s="10"/>
      <c r="P215" s="10"/>
      <c r="Q215" s="10"/>
      <c r="S215" s="10"/>
      <c r="T215" s="10"/>
      <c r="U215" s="10"/>
      <c r="V215" s="10"/>
      <c r="W215" s="10"/>
      <c r="X215" s="10"/>
      <c r="Y215" s="10"/>
      <c r="Z215" s="10"/>
      <c r="AA215" s="10"/>
      <c r="AB215" s="10"/>
      <c r="AC215" s="10"/>
      <c r="AD215" s="10"/>
      <c r="AE215" s="10"/>
      <c r="AF215" s="10">
        <v>11</v>
      </c>
    </row>
    <row r="216" spans="1:32" ht="11.45" customHeight="1">
      <c r="A216" s="572"/>
      <c r="B216" s="10"/>
      <c r="K216" s="10"/>
      <c r="N216" s="10"/>
      <c r="O216" s="10"/>
      <c r="P216" s="10"/>
      <c r="Q216" s="10"/>
      <c r="S216" s="10"/>
      <c r="T216" s="10"/>
      <c r="U216" s="10"/>
      <c r="V216" s="10"/>
      <c r="W216" s="10"/>
      <c r="X216" s="10"/>
      <c r="Y216" s="10"/>
      <c r="Z216" s="10"/>
      <c r="AA216" s="10"/>
      <c r="AB216" s="10"/>
      <c r="AC216" s="10"/>
      <c r="AD216" s="10"/>
      <c r="AE216" s="10"/>
      <c r="AF216" s="10">
        <v>11</v>
      </c>
    </row>
    <row r="217" spans="1:32" ht="11.25" hidden="1" customHeight="1">
      <c r="A217" s="569" t="s">
        <v>80</v>
      </c>
      <c r="B217" s="60">
        <v>0</v>
      </c>
      <c r="C217" s="65">
        <v>0</v>
      </c>
      <c r="D217" s="10">
        <v>3</v>
      </c>
      <c r="E217" s="10">
        <v>7</v>
      </c>
      <c r="F217" s="10">
        <v>56</v>
      </c>
      <c r="G217" s="10">
        <v>10</v>
      </c>
      <c r="H217" s="10">
        <v>0</v>
      </c>
      <c r="I217" s="10">
        <v>40</v>
      </c>
      <c r="J217" s="10">
        <v>102</v>
      </c>
      <c r="K217" s="60">
        <v>9</v>
      </c>
      <c r="L217" s="65">
        <v>5</v>
      </c>
      <c r="M217" s="65">
        <v>3</v>
      </c>
      <c r="N217" s="60">
        <v>3</v>
      </c>
      <c r="O217" s="60">
        <v>3</v>
      </c>
      <c r="P217" s="60">
        <v>3</v>
      </c>
      <c r="Q217" s="60">
        <v>3</v>
      </c>
      <c r="R217" s="65">
        <v>10</v>
      </c>
      <c r="S217" s="60">
        <v>34</v>
      </c>
      <c r="T217" s="60">
        <v>9</v>
      </c>
      <c r="U217" s="306">
        <v>8</v>
      </c>
      <c r="V217" s="60">
        <v>8</v>
      </c>
      <c r="W217" s="60">
        <v>8</v>
      </c>
      <c r="X217" s="60">
        <v>8</v>
      </c>
      <c r="Y217" s="60">
        <v>8</v>
      </c>
      <c r="Z217" s="60">
        <v>8</v>
      </c>
      <c r="AA217" s="7">
        <v>8</v>
      </c>
      <c r="AB217" s="7">
        <v>8</v>
      </c>
      <c r="AC217" s="7">
        <v>8</v>
      </c>
      <c r="AD217" s="7">
        <v>8</v>
      </c>
      <c r="AE217" s="7">
        <v>8</v>
      </c>
      <c r="AF217" s="1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569" hidden="1" customWidth="1"/>
    <col min="2" max="2" width="16.85546875" style="60" hidden="1" customWidth="1"/>
    <col min="3" max="3" width="5.5703125" style="65" hidden="1" customWidth="1"/>
    <col min="4" max="4" width="3" style="10" customWidth="1"/>
    <col min="5" max="5" width="7" style="10" customWidth="1"/>
    <col min="6" max="6" width="54" style="10" customWidth="1"/>
    <col min="7" max="7" width="10" style="10" customWidth="1"/>
    <col min="8" max="8" width="40.7109375" style="10" hidden="1" customWidth="1"/>
    <col min="9" max="9" width="40" style="10" customWidth="1"/>
    <col min="10" max="10" width="102" style="10" customWidth="1"/>
    <col min="11" max="11" width="9" style="60" customWidth="1"/>
    <col min="12" max="12" width="5" style="65" customWidth="1"/>
    <col min="13" max="13" width="3" style="65" customWidth="1"/>
    <col min="14" max="17" width="3" style="60" customWidth="1"/>
    <col min="18" max="18" width="10" style="65" customWidth="1"/>
    <col min="19" max="19" width="34" style="60" customWidth="1"/>
    <col min="20" max="20" width="9" style="60" customWidth="1"/>
    <col min="21" max="21" width="8" style="306" customWidth="1"/>
    <col min="22" max="26" width="8" style="60" customWidth="1"/>
    <col min="27" max="31" width="8" style="7" customWidth="1"/>
    <col min="32" max="32" width="9.140625" style="10" hidden="1"/>
  </cols>
  <sheetData>
    <row r="1" spans="1:32" s="60" customFormat="1" ht="22.5" hidden="1" customHeight="1">
      <c r="A1" s="569"/>
      <c r="C1" s="65"/>
      <c r="H1" s="60">
        <v>4</v>
      </c>
      <c r="I1" s="60">
        <v>4</v>
      </c>
      <c r="L1" s="65"/>
      <c r="M1" s="65"/>
      <c r="R1" s="65"/>
      <c r="AF1" s="60" t="s">
        <v>14</v>
      </c>
    </row>
    <row r="2" spans="1:32" s="60" customFormat="1" ht="22.5" hidden="1" customHeight="1">
      <c r="A2" s="569"/>
      <c r="C2" s="65"/>
      <c r="D2" s="301"/>
      <c r="E2" s="40"/>
      <c r="F2" s="302"/>
      <c r="G2" s="40" t="s">
        <v>551</v>
      </c>
      <c r="H2" s="303"/>
      <c r="I2" s="303"/>
      <c r="J2" s="304" t="s">
        <v>554</v>
      </c>
      <c r="K2" s="305"/>
      <c r="L2" s="65"/>
      <c r="M2" s="65"/>
      <c r="R2" s="65"/>
      <c r="U2" s="306"/>
      <c r="AA2" s="7"/>
      <c r="AB2" s="7"/>
      <c r="AC2" s="7"/>
      <c r="AD2" s="7"/>
      <c r="AE2" s="7"/>
      <c r="AF2" s="60">
        <v>0</v>
      </c>
    </row>
    <row r="3" spans="1:32" ht="11.25" hidden="1" customHeight="1">
      <c r="AF3" s="10">
        <v>0</v>
      </c>
    </row>
    <row r="4" spans="1:32" s="7" customFormat="1" ht="11.25" hidden="1" customHeight="1">
      <c r="A4" s="569"/>
      <c r="B4" s="60"/>
      <c r="C4" s="65"/>
      <c r="J4" s="7">
        <v>4</v>
      </c>
      <c r="K4" s="60"/>
      <c r="L4" s="65"/>
      <c r="M4" s="65"/>
      <c r="N4" s="60"/>
      <c r="O4" s="60"/>
      <c r="P4" s="60"/>
      <c r="Q4" s="60"/>
      <c r="R4" s="65"/>
      <c r="S4" s="60"/>
      <c r="T4" s="60"/>
      <c r="U4" s="306"/>
      <c r="V4" s="60"/>
      <c r="W4" s="60"/>
      <c r="X4" s="60"/>
      <c r="Y4" s="60"/>
      <c r="Z4" s="60"/>
      <c r="AF4" s="7">
        <v>0</v>
      </c>
    </row>
    <row r="5" spans="1:32" ht="11.45" customHeight="1">
      <c r="AF5" s="10">
        <v>11</v>
      </c>
    </row>
    <row r="6" spans="1:32" ht="33.75" customHeight="1">
      <c r="E6" s="1264" t="s">
        <v>773</v>
      </c>
      <c r="F6" s="1264"/>
      <c r="G6" s="1264"/>
      <c r="H6" s="1264"/>
      <c r="I6" s="1264"/>
      <c r="J6" s="57"/>
      <c r="AF6" s="10">
        <v>32</v>
      </c>
    </row>
    <row r="7" spans="1:32" ht="25.15" customHeight="1">
      <c r="E7" s="1236" t="str">
        <f>IF(org=0,"Не определено",org)</f>
        <v>Общество с ограниченной ответственностью "Березовский рудник"</v>
      </c>
      <c r="F7" s="1236"/>
      <c r="G7" s="1236"/>
      <c r="H7" s="1236"/>
      <c r="I7" s="1236"/>
      <c r="AF7" s="10">
        <v>24</v>
      </c>
    </row>
    <row r="8" spans="1:32" ht="11.45" customHeight="1">
      <c r="E8" s="664"/>
      <c r="F8" s="664"/>
      <c r="G8" s="664"/>
      <c r="H8" s="664"/>
      <c r="I8" s="664"/>
      <c r="AF8" s="10">
        <v>11</v>
      </c>
    </row>
    <row r="9" spans="1:32" s="65" customFormat="1" ht="1.1499999999999999" customHeight="1">
      <c r="A9" s="310"/>
      <c r="H9" s="511"/>
      <c r="I9" s="511" t="s">
        <v>115</v>
      </c>
      <c r="AF9" s="65">
        <v>1</v>
      </c>
    </row>
    <row r="10" spans="1:32" ht="11.45" customHeight="1">
      <c r="E10" s="406"/>
      <c r="F10" s="1370" t="s">
        <v>103</v>
      </c>
      <c r="G10" s="1371"/>
      <c r="H10" s="856" t="str">
        <f>IF(H9="","",INDEX(DIFFERENTIATION_UNMERGE_VD,MATCH(H9,DIFFERENTIATION_ID_DIFF,0)))</f>
        <v/>
      </c>
      <c r="I10" s="856">
        <f>IF(I9="","",INDEX(DIFFERENTIATION_UNMERGE_VD,MATCH(I9,DIFFERENTIATION_ID_DIFF,0)))</f>
        <v>0</v>
      </c>
      <c r="J10" s="1146"/>
      <c r="AF10" s="10">
        <v>11</v>
      </c>
    </row>
    <row r="11" spans="1:32" ht="11.45" customHeight="1">
      <c r="E11" s="406"/>
      <c r="F11" s="1370" t="s">
        <v>563</v>
      </c>
      <c r="G11" s="1371"/>
      <c r="H11" s="856" t="str">
        <f>IF(H9="","",INDEX(DIFFERENTIATION_UNMERGE_AREA,MATCH(H9,DIFFERENTIATION_ID_DIFF,0)))</f>
        <v/>
      </c>
      <c r="I11" s="856" t="str">
        <f>IF(I9="","",INDEX(DIFFERENTIATION_UNMERGE_AREA,MATCH(I9,DIFFERENTIATION_ID_DIFF,0)))</f>
        <v/>
      </c>
      <c r="J11" s="1146"/>
      <c r="AF11" s="10">
        <v>11</v>
      </c>
    </row>
    <row r="12" spans="1:32" ht="11.25" hidden="1" customHeight="1">
      <c r="E12" s="894"/>
      <c r="F12" s="1388" t="s">
        <v>564</v>
      </c>
      <c r="G12" s="1389"/>
      <c r="H12" s="895" t="str">
        <f>IF(H9="","",INDEX(DIFFERENTIATION_UNMERGE_SYSTEM,MATCH(H9,DIFFERENTIATION_ID_DIFF,0)))</f>
        <v/>
      </c>
      <c r="I12" s="895" t="str">
        <f>IF(I9="","",INDEX(DIFFERENTIATION_UNMERGE_SYSTEM,MATCH(I9,DIFFERENTIATION_ID_DIFF,0)))</f>
        <v>без дифференциации</v>
      </c>
      <c r="J12" s="1146"/>
      <c r="AF12" s="10">
        <v>0</v>
      </c>
    </row>
    <row r="13" spans="1:32" ht="11.45" customHeight="1">
      <c r="E13" s="1372" t="s">
        <v>300</v>
      </c>
      <c r="F13" s="1373"/>
      <c r="G13" s="1373"/>
      <c r="H13" s="509"/>
      <c r="I13" s="509"/>
      <c r="J13" s="1146"/>
      <c r="AF13" s="10">
        <v>11</v>
      </c>
    </row>
    <row r="14" spans="1:32" ht="24" customHeight="1">
      <c r="E14" s="40" t="s">
        <v>86</v>
      </c>
      <c r="F14" s="40" t="s">
        <v>302</v>
      </c>
      <c r="G14" s="40" t="s">
        <v>565</v>
      </c>
      <c r="H14" s="40" t="s">
        <v>303</v>
      </c>
      <c r="I14" s="40" t="s">
        <v>303</v>
      </c>
      <c r="J14" s="1146"/>
      <c r="AF14" s="10">
        <v>23</v>
      </c>
    </row>
    <row r="15" spans="1:32" ht="19.899999999999999" customHeight="1">
      <c r="D15" s="53"/>
      <c r="E15" s="892" t="s">
        <v>107</v>
      </c>
      <c r="F15" s="150" t="s">
        <v>774</v>
      </c>
      <c r="G15" s="40" t="s">
        <v>551</v>
      </c>
      <c r="H15" s="318"/>
      <c r="I15" s="318"/>
      <c r="J15" s="64" t="s">
        <v>775</v>
      </c>
      <c r="K15" s="305" t="s">
        <v>629</v>
      </c>
      <c r="AF15" s="10">
        <v>19</v>
      </c>
    </row>
    <row r="16" spans="1:32" ht="24" customHeight="1">
      <c r="D16" s="53"/>
      <c r="E16" s="892" t="s">
        <v>108</v>
      </c>
      <c r="F16" s="876" t="s">
        <v>776</v>
      </c>
      <c r="G16" s="40" t="s">
        <v>551</v>
      </c>
      <c r="H16" s="319">
        <f>SUM(H17,H20:H27)</f>
        <v>0</v>
      </c>
      <c r="I16" s="319">
        <f>SUM(I17,I20:I27)</f>
        <v>0</v>
      </c>
      <c r="J16" s="64" t="s">
        <v>777</v>
      </c>
      <c r="K16" s="305" t="s">
        <v>629</v>
      </c>
      <c r="AF16" s="10">
        <v>23</v>
      </c>
    </row>
    <row r="17" spans="1:32" ht="35.65" customHeight="1">
      <c r="D17" s="53"/>
      <c r="E17" s="896" t="s">
        <v>707</v>
      </c>
      <c r="F17" s="391" t="s">
        <v>778</v>
      </c>
      <c r="G17" s="392" t="s">
        <v>551</v>
      </c>
      <c r="H17" s="318"/>
      <c r="I17" s="318"/>
      <c r="J17" s="64" t="s">
        <v>779</v>
      </c>
      <c r="K17" s="305"/>
      <c r="AF17" s="10">
        <v>34</v>
      </c>
    </row>
    <row r="18" spans="1:32" ht="19.899999999999999" customHeight="1">
      <c r="D18" s="53"/>
      <c r="E18" s="896" t="s">
        <v>710</v>
      </c>
      <c r="F18" s="713" t="s">
        <v>780</v>
      </c>
      <c r="G18" s="392" t="s">
        <v>551</v>
      </c>
      <c r="H18" s="318"/>
      <c r="I18" s="318"/>
      <c r="J18" s="64"/>
      <c r="K18" s="305"/>
      <c r="AF18" s="10">
        <v>19</v>
      </c>
    </row>
    <row r="19" spans="1:32" ht="24" customHeight="1">
      <c r="D19" s="53"/>
      <c r="E19" s="896" t="s">
        <v>713</v>
      </c>
      <c r="F19" s="713" t="s">
        <v>781</v>
      </c>
      <c r="G19" s="392" t="s">
        <v>551</v>
      </c>
      <c r="H19" s="318"/>
      <c r="I19" s="318"/>
      <c r="J19" s="64"/>
      <c r="K19" s="305"/>
      <c r="AF19" s="10">
        <v>23</v>
      </c>
    </row>
    <row r="20" spans="1:32" ht="35.65" customHeight="1">
      <c r="D20" s="53"/>
      <c r="E20" s="896" t="s">
        <v>307</v>
      </c>
      <c r="F20" s="391" t="s">
        <v>782</v>
      </c>
      <c r="G20" s="392" t="s">
        <v>551</v>
      </c>
      <c r="H20" s="318"/>
      <c r="I20" s="318"/>
      <c r="J20" s="64"/>
      <c r="K20" s="305"/>
      <c r="AF20" s="10">
        <v>34</v>
      </c>
    </row>
    <row r="21" spans="1:32" ht="48.2" customHeight="1">
      <c r="D21" s="53"/>
      <c r="E21" s="896" t="s">
        <v>310</v>
      </c>
      <c r="F21" s="391" t="s">
        <v>783</v>
      </c>
      <c r="G21" s="392" t="s">
        <v>551</v>
      </c>
      <c r="H21" s="318"/>
      <c r="I21" s="318"/>
      <c r="J21" s="64"/>
      <c r="K21" s="305"/>
      <c r="AF21" s="10">
        <v>46</v>
      </c>
    </row>
    <row r="22" spans="1:32" ht="60" customHeight="1">
      <c r="D22" s="53"/>
      <c r="E22" s="896" t="s">
        <v>727</v>
      </c>
      <c r="F22" s="391" t="s">
        <v>784</v>
      </c>
      <c r="G22" s="392" t="s">
        <v>551</v>
      </c>
      <c r="H22" s="318"/>
      <c r="I22" s="318"/>
      <c r="J22" s="64"/>
      <c r="K22" s="305"/>
      <c r="AF22" s="10">
        <v>57</v>
      </c>
    </row>
    <row r="23" spans="1:32" ht="35.65" customHeight="1">
      <c r="D23" s="53"/>
      <c r="E23" s="896" t="s">
        <v>734</v>
      </c>
      <c r="F23" s="391" t="s">
        <v>785</v>
      </c>
      <c r="G23" s="392" t="s">
        <v>551</v>
      </c>
      <c r="H23" s="318"/>
      <c r="I23" s="318"/>
      <c r="J23" s="64"/>
      <c r="K23" s="305"/>
      <c r="AF23" s="10">
        <v>34</v>
      </c>
    </row>
    <row r="24" spans="1:32" ht="35.65" customHeight="1">
      <c r="D24" s="53"/>
      <c r="E24" s="896" t="s">
        <v>736</v>
      </c>
      <c r="F24" s="391" t="s">
        <v>786</v>
      </c>
      <c r="G24" s="392" t="s">
        <v>551</v>
      </c>
      <c r="H24" s="318"/>
      <c r="I24" s="318"/>
      <c r="J24" s="64"/>
      <c r="K24" s="305"/>
      <c r="AF24" s="10">
        <v>34</v>
      </c>
    </row>
    <row r="25" spans="1:32" ht="24" customHeight="1">
      <c r="D25" s="53"/>
      <c r="E25" s="896" t="s">
        <v>738</v>
      </c>
      <c r="F25" s="391" t="s">
        <v>787</v>
      </c>
      <c r="G25" s="392" t="s">
        <v>551</v>
      </c>
      <c r="H25" s="318"/>
      <c r="I25" s="318"/>
      <c r="J25" s="64"/>
      <c r="K25" s="305"/>
      <c r="AF25" s="10">
        <v>23</v>
      </c>
    </row>
    <row r="26" spans="1:32" ht="76.5" customHeight="1">
      <c r="D26" s="53"/>
      <c r="E26" s="896" t="s">
        <v>740</v>
      </c>
      <c r="F26" s="391" t="s">
        <v>788</v>
      </c>
      <c r="G26" s="392" t="s">
        <v>551</v>
      </c>
      <c r="H26" s="318"/>
      <c r="I26" s="318"/>
      <c r="J26" s="64"/>
      <c r="K26" s="305"/>
      <c r="AF26" s="10">
        <v>73</v>
      </c>
    </row>
    <row r="27" spans="1:32" s="60" customFormat="1" ht="35.65" customHeight="1">
      <c r="A27" s="569"/>
      <c r="C27" s="65"/>
      <c r="D27" s="53"/>
      <c r="E27" s="891" t="s">
        <v>744</v>
      </c>
      <c r="F27" s="890" t="s">
        <v>789</v>
      </c>
      <c r="G27" s="337" t="s">
        <v>551</v>
      </c>
      <c r="H27" s="338">
        <f>SUM(H28:H29)</f>
        <v>0</v>
      </c>
      <c r="I27" s="338">
        <f>SUM(I28:I29)</f>
        <v>0</v>
      </c>
      <c r="J27" s="64" t="s">
        <v>742</v>
      </c>
      <c r="K27" s="305"/>
      <c r="L27" s="65"/>
      <c r="M27" s="65"/>
      <c r="R27" s="65"/>
      <c r="U27" s="306"/>
      <c r="AA27" s="7"/>
      <c r="AB27" s="7"/>
      <c r="AC27" s="7"/>
      <c r="AD27" s="7"/>
      <c r="AE27" s="7"/>
      <c r="AF27" s="60">
        <v>34</v>
      </c>
    </row>
    <row r="28" spans="1:32" s="65" customFormat="1" ht="1.1499999999999999" customHeight="1">
      <c r="A28" s="310"/>
      <c r="D28" s="310"/>
      <c r="E28" s="313" t="str">
        <f>E27&amp;".0"</f>
        <v>2.9.0</v>
      </c>
      <c r="F28" s="573"/>
      <c r="G28" s="313"/>
      <c r="H28" s="574"/>
      <c r="I28" s="574"/>
      <c r="J28" s="575"/>
      <c r="AF28" s="65">
        <v>1</v>
      </c>
    </row>
    <row r="29" spans="1:32" s="60" customFormat="1" ht="19.899999999999999" customHeight="1">
      <c r="A29" s="569"/>
      <c r="C29" s="65"/>
      <c r="D29" s="74"/>
      <c r="E29" s="330"/>
      <c r="F29" s="897" t="s">
        <v>576</v>
      </c>
      <c r="G29" s="331"/>
      <c r="H29" s="332"/>
      <c r="I29" s="332"/>
      <c r="J29" s="169" t="s">
        <v>743</v>
      </c>
      <c r="K29" s="305"/>
      <c r="L29" s="65"/>
      <c r="M29" s="65"/>
      <c r="R29" s="65"/>
      <c r="U29" s="306"/>
      <c r="AA29" s="7"/>
      <c r="AB29" s="7"/>
      <c r="AC29" s="7"/>
      <c r="AD29" s="7"/>
      <c r="AE29" s="7"/>
      <c r="AF29" s="60">
        <v>19</v>
      </c>
    </row>
    <row r="30" spans="1:32" s="60" customFormat="1" ht="24" customHeight="1">
      <c r="A30" s="569"/>
      <c r="C30" s="65"/>
      <c r="D30" s="53"/>
      <c r="E30" s="896" t="s">
        <v>88</v>
      </c>
      <c r="F30" s="394" t="s">
        <v>790</v>
      </c>
      <c r="G30" s="392" t="s">
        <v>551</v>
      </c>
      <c r="H30" s="318"/>
      <c r="I30" s="318"/>
      <c r="J30" s="64"/>
      <c r="K30" s="305"/>
      <c r="L30" s="65"/>
      <c r="M30" s="65"/>
      <c r="R30" s="65"/>
      <c r="U30" s="306"/>
      <c r="AA30" s="7"/>
      <c r="AB30" s="7"/>
      <c r="AC30" s="7"/>
      <c r="AD30" s="7"/>
      <c r="AE30" s="7"/>
      <c r="AF30" s="60">
        <v>23</v>
      </c>
    </row>
    <row r="31" spans="1:32" s="60" customFormat="1" ht="35.65" customHeight="1">
      <c r="A31" s="569"/>
      <c r="C31" s="65"/>
      <c r="D31" s="334"/>
      <c r="E31" s="896" t="s">
        <v>89</v>
      </c>
      <c r="F31" s="394" t="s">
        <v>791</v>
      </c>
      <c r="G31" s="392" t="s">
        <v>551</v>
      </c>
      <c r="H31" s="318"/>
      <c r="I31" s="318"/>
      <c r="J31" s="64" t="s">
        <v>792</v>
      </c>
      <c r="K31" s="305"/>
      <c r="L31" s="65"/>
      <c r="M31" s="65"/>
      <c r="R31" s="65"/>
      <c r="U31" s="306"/>
      <c r="AA31" s="7"/>
      <c r="AB31" s="7"/>
      <c r="AC31" s="7"/>
      <c r="AD31" s="7"/>
      <c r="AE31" s="7"/>
      <c r="AF31" s="60">
        <v>34</v>
      </c>
    </row>
    <row r="32" spans="1:32" s="60" customFormat="1" ht="24" customHeight="1">
      <c r="A32" s="569"/>
      <c r="C32" s="65"/>
      <c r="D32" s="53"/>
      <c r="E32" s="896" t="s">
        <v>752</v>
      </c>
      <c r="F32" s="391" t="s">
        <v>756</v>
      </c>
      <c r="G32" s="392" t="s">
        <v>551</v>
      </c>
      <c r="H32" s="318"/>
      <c r="I32" s="318"/>
      <c r="J32" s="64" t="s">
        <v>793</v>
      </c>
      <c r="K32" s="305"/>
      <c r="L32" s="65"/>
      <c r="M32" s="65"/>
      <c r="R32" s="65"/>
      <c r="U32" s="306"/>
      <c r="AA32" s="7"/>
      <c r="AB32" s="7"/>
      <c r="AC32" s="7"/>
      <c r="AD32" s="7"/>
      <c r="AE32" s="7"/>
      <c r="AF32" s="60">
        <v>23</v>
      </c>
    </row>
    <row r="33" spans="1:32" s="60" customFormat="1" ht="24" customHeight="1">
      <c r="A33" s="569"/>
      <c r="C33" s="65"/>
      <c r="D33" s="53"/>
      <c r="E33" s="896" t="s">
        <v>794</v>
      </c>
      <c r="F33" s="391" t="s">
        <v>795</v>
      </c>
      <c r="G33" s="392" t="s">
        <v>551</v>
      </c>
      <c r="H33" s="318"/>
      <c r="I33" s="318"/>
      <c r="J33" s="64" t="s">
        <v>796</v>
      </c>
      <c r="K33" s="305"/>
      <c r="L33" s="65"/>
      <c r="M33" s="65"/>
      <c r="R33" s="65"/>
      <c r="U33" s="306"/>
      <c r="AA33" s="7"/>
      <c r="AB33" s="7"/>
      <c r="AC33" s="7"/>
      <c r="AD33" s="7"/>
      <c r="AE33" s="7"/>
      <c r="AF33" s="60">
        <v>23</v>
      </c>
    </row>
    <row r="34" spans="1:32" s="60" customFormat="1" ht="24" customHeight="1">
      <c r="A34" s="569"/>
      <c r="C34" s="65"/>
      <c r="D34" s="53"/>
      <c r="E34" s="896" t="s">
        <v>797</v>
      </c>
      <c r="F34" s="391" t="s">
        <v>762</v>
      </c>
      <c r="G34" s="392" t="s">
        <v>551</v>
      </c>
      <c r="H34" s="318"/>
      <c r="I34" s="318"/>
      <c r="J34" s="64" t="s">
        <v>798</v>
      </c>
      <c r="K34" s="305"/>
      <c r="L34" s="65"/>
      <c r="M34" s="65"/>
      <c r="R34" s="65"/>
      <c r="U34" s="306"/>
      <c r="AA34" s="7"/>
      <c r="AB34" s="7"/>
      <c r="AC34" s="7"/>
      <c r="AD34" s="7"/>
      <c r="AE34" s="7"/>
      <c r="AF34" s="60">
        <v>23</v>
      </c>
    </row>
    <row r="35" spans="1:32" s="60" customFormat="1" ht="35.65" customHeight="1">
      <c r="A35" s="569"/>
      <c r="C35" s="65" t="s">
        <v>587</v>
      </c>
      <c r="D35" s="53"/>
      <c r="E35" s="896" t="s">
        <v>109</v>
      </c>
      <c r="F35" s="394" t="s">
        <v>628</v>
      </c>
      <c r="G35" s="40" t="s">
        <v>306</v>
      </c>
      <c r="H35" s="225"/>
      <c r="I35" s="225"/>
      <c r="J35" s="64" t="s">
        <v>799</v>
      </c>
      <c r="K35" s="305"/>
      <c r="L35" s="65"/>
      <c r="M35" s="65"/>
      <c r="R35" s="65"/>
      <c r="U35" s="306"/>
      <c r="AA35" s="7"/>
      <c r="AB35" s="7"/>
      <c r="AC35" s="7"/>
      <c r="AD35" s="7"/>
      <c r="AE35" s="7"/>
      <c r="AF35" s="60">
        <v>34</v>
      </c>
    </row>
    <row r="36" spans="1:32" s="60" customFormat="1" ht="35.65" customHeight="1">
      <c r="A36" s="569"/>
      <c r="C36" s="65"/>
      <c r="D36" s="53"/>
      <c r="E36" s="896" t="s">
        <v>90</v>
      </c>
      <c r="F36" s="394" t="s">
        <v>800</v>
      </c>
      <c r="G36" s="392" t="s">
        <v>767</v>
      </c>
      <c r="H36" s="307"/>
      <c r="I36" s="307"/>
      <c r="J36" s="64" t="s">
        <v>768</v>
      </c>
      <c r="K36" s="305"/>
      <c r="L36" s="65"/>
      <c r="M36" s="65"/>
      <c r="R36" s="65"/>
      <c r="U36" s="306"/>
      <c r="AA36" s="7"/>
      <c r="AB36" s="7"/>
      <c r="AC36" s="7"/>
      <c r="AD36" s="7"/>
      <c r="AE36" s="7"/>
      <c r="AF36" s="60">
        <v>34</v>
      </c>
    </row>
    <row r="37" spans="1:32" s="60" customFormat="1" ht="24" customHeight="1">
      <c r="A37" s="569"/>
      <c r="C37" s="65"/>
      <c r="D37" s="53"/>
      <c r="E37" s="896" t="s">
        <v>91</v>
      </c>
      <c r="F37" s="394" t="s">
        <v>801</v>
      </c>
      <c r="G37" s="392" t="s">
        <v>770</v>
      </c>
      <c r="H37" s="307"/>
      <c r="I37" s="307"/>
      <c r="J37" s="64" t="s">
        <v>771</v>
      </c>
      <c r="K37" s="305"/>
      <c r="L37" s="65"/>
      <c r="M37" s="65"/>
      <c r="R37" s="65"/>
      <c r="U37" s="306"/>
      <c r="AA37" s="7"/>
      <c r="AB37" s="7"/>
      <c r="AC37" s="7"/>
      <c r="AD37" s="7"/>
      <c r="AE37" s="7"/>
      <c r="AF37" s="60">
        <v>23</v>
      </c>
    </row>
    <row r="38" spans="1:32" ht="11.45" customHeight="1">
      <c r="D38" s="53"/>
      <c r="AF38" s="10">
        <v>11</v>
      </c>
    </row>
    <row r="39" spans="1:32" ht="27.4" customHeight="1">
      <c r="D39" s="53"/>
      <c r="E39" s="195" t="s">
        <v>802</v>
      </c>
      <c r="F39" s="1282" t="s">
        <v>803</v>
      </c>
      <c r="G39" s="1282"/>
      <c r="H39" s="3"/>
      <c r="I39" s="3"/>
      <c r="J39" s="3"/>
      <c r="AF39" s="10">
        <v>26</v>
      </c>
    </row>
    <row r="40" spans="1:32" s="200" customFormat="1" ht="39.75" customHeight="1">
      <c r="A40" s="569"/>
      <c r="B40" s="65"/>
      <c r="C40" s="65"/>
      <c r="F40" s="1282" t="s">
        <v>804</v>
      </c>
      <c r="G40" s="1282"/>
      <c r="H40" s="3"/>
      <c r="I40" s="3"/>
      <c r="J40" s="3"/>
      <c r="K40" s="60"/>
      <c r="L40" s="65"/>
      <c r="M40" s="65"/>
      <c r="N40" s="60"/>
      <c r="O40" s="60"/>
      <c r="P40" s="60"/>
      <c r="Q40" s="60"/>
      <c r="R40" s="65"/>
      <c r="S40" s="60"/>
      <c r="T40" s="60"/>
      <c r="U40" s="306"/>
      <c r="V40" s="60"/>
      <c r="W40" s="60"/>
      <c r="X40" s="60"/>
      <c r="Y40" s="60"/>
      <c r="Z40" s="60"/>
      <c r="AA40" s="7"/>
      <c r="AB40" s="139"/>
      <c r="AC40" s="139"/>
      <c r="AD40" s="139"/>
      <c r="AE40" s="139"/>
      <c r="AF40" s="200">
        <v>38</v>
      </c>
    </row>
    <row r="41" spans="1:32" s="200" customFormat="1" ht="11.45" customHeight="1">
      <c r="A41" s="569"/>
      <c r="B41" s="65"/>
      <c r="C41" s="65"/>
      <c r="K41" s="60"/>
      <c r="L41" s="65"/>
      <c r="M41" s="65"/>
      <c r="N41" s="60"/>
      <c r="O41" s="60"/>
      <c r="P41" s="60"/>
      <c r="Q41" s="60"/>
      <c r="R41" s="65"/>
      <c r="S41" s="60"/>
      <c r="T41" s="60"/>
      <c r="U41" s="306"/>
      <c r="V41" s="60"/>
      <c r="W41" s="60"/>
      <c r="X41" s="60"/>
      <c r="Y41" s="60"/>
      <c r="Z41" s="60"/>
      <c r="AA41" s="7"/>
      <c r="AB41" s="139"/>
      <c r="AC41" s="139"/>
      <c r="AD41" s="139"/>
      <c r="AE41" s="139"/>
      <c r="AF41" s="200">
        <v>11</v>
      </c>
    </row>
    <row r="42" spans="1:32" s="200" customFormat="1" ht="11.45" customHeight="1">
      <c r="A42" s="569"/>
      <c r="B42" s="65"/>
      <c r="C42" s="65"/>
      <c r="K42" s="60"/>
      <c r="L42" s="65"/>
      <c r="M42" s="65"/>
      <c r="N42" s="60"/>
      <c r="O42" s="60"/>
      <c r="P42" s="60"/>
      <c r="Q42" s="60"/>
      <c r="R42" s="65"/>
      <c r="S42" s="60"/>
      <c r="T42" s="60"/>
      <c r="U42" s="306"/>
      <c r="V42" s="60"/>
      <c r="W42" s="60"/>
      <c r="X42" s="60"/>
      <c r="Y42" s="60"/>
      <c r="Z42" s="60"/>
      <c r="AA42" s="7"/>
      <c r="AB42" s="139"/>
      <c r="AC42" s="139"/>
      <c r="AD42" s="139"/>
      <c r="AE42" s="139"/>
      <c r="AF42" s="200">
        <v>11</v>
      </c>
    </row>
    <row r="43" spans="1:32" s="200" customFormat="1" ht="11.45" customHeight="1">
      <c r="A43" s="569"/>
      <c r="B43" s="65"/>
      <c r="C43" s="65"/>
      <c r="H43" s="139"/>
      <c r="I43" s="139"/>
      <c r="K43" s="60"/>
      <c r="L43" s="65"/>
      <c r="M43" s="65"/>
      <c r="N43" s="60"/>
      <c r="O43" s="60"/>
      <c r="P43" s="60"/>
      <c r="Q43" s="60"/>
      <c r="R43" s="65"/>
      <c r="S43" s="60"/>
      <c r="T43" s="60"/>
      <c r="U43" s="306"/>
      <c r="V43" s="60"/>
      <c r="W43" s="60"/>
      <c r="X43" s="60"/>
      <c r="Y43" s="60"/>
      <c r="Z43" s="60"/>
      <c r="AA43" s="7"/>
      <c r="AB43" s="139"/>
      <c r="AC43" s="139"/>
      <c r="AD43" s="139"/>
      <c r="AE43" s="139"/>
      <c r="AF43" s="200">
        <v>11</v>
      </c>
    </row>
    <row r="44" spans="1:32" s="200" customFormat="1" ht="11.45" customHeight="1">
      <c r="A44" s="569"/>
      <c r="B44" s="65"/>
      <c r="C44" s="65"/>
      <c r="K44" s="60"/>
      <c r="L44" s="65"/>
      <c r="M44" s="65"/>
      <c r="N44" s="60"/>
      <c r="O44" s="60"/>
      <c r="P44" s="60"/>
      <c r="Q44" s="60"/>
      <c r="R44" s="65"/>
      <c r="S44" s="60"/>
      <c r="T44" s="60"/>
      <c r="U44" s="306"/>
      <c r="V44" s="60"/>
      <c r="W44" s="60"/>
      <c r="X44" s="60"/>
      <c r="Y44" s="60"/>
      <c r="Z44" s="60"/>
      <c r="AA44" s="7"/>
      <c r="AB44" s="139"/>
      <c r="AC44" s="139"/>
      <c r="AD44" s="139"/>
      <c r="AE44" s="139"/>
      <c r="AF44" s="200">
        <v>11</v>
      </c>
    </row>
    <row r="45" spans="1:32" s="200" customFormat="1" ht="11.45" customHeight="1">
      <c r="A45" s="569"/>
      <c r="B45" s="65"/>
      <c r="C45" s="65"/>
      <c r="K45" s="60"/>
      <c r="L45" s="65"/>
      <c r="M45" s="65"/>
      <c r="N45" s="60"/>
      <c r="O45" s="60"/>
      <c r="P45" s="60"/>
      <c r="Q45" s="60"/>
      <c r="R45" s="65"/>
      <c r="S45" s="60"/>
      <c r="T45" s="60"/>
      <c r="U45" s="306"/>
      <c r="V45" s="60"/>
      <c r="W45" s="60"/>
      <c r="X45" s="60"/>
      <c r="Y45" s="60"/>
      <c r="Z45" s="60"/>
      <c r="AA45" s="7"/>
      <c r="AB45" s="139"/>
      <c r="AC45" s="139"/>
      <c r="AD45" s="139"/>
      <c r="AE45" s="139"/>
      <c r="AF45" s="200">
        <v>11</v>
      </c>
    </row>
    <row r="46" spans="1:32" s="200" customFormat="1" ht="11.45" customHeight="1">
      <c r="A46" s="569"/>
      <c r="B46" s="65"/>
      <c r="C46" s="65"/>
      <c r="K46" s="60"/>
      <c r="L46" s="65"/>
      <c r="M46" s="65"/>
      <c r="N46" s="60"/>
      <c r="O46" s="60"/>
      <c r="P46" s="60"/>
      <c r="Q46" s="60"/>
      <c r="R46" s="65"/>
      <c r="S46" s="60"/>
      <c r="T46" s="60"/>
      <c r="U46" s="306"/>
      <c r="V46" s="60"/>
      <c r="W46" s="60"/>
      <c r="X46" s="60"/>
      <c r="Y46" s="60"/>
      <c r="Z46" s="60"/>
      <c r="AA46" s="7"/>
      <c r="AB46" s="139"/>
      <c r="AC46" s="139"/>
      <c r="AD46" s="139"/>
      <c r="AE46" s="139"/>
      <c r="AF46" s="200">
        <v>11</v>
      </c>
    </row>
    <row r="47" spans="1:32" s="200" customFormat="1" ht="11.45" customHeight="1">
      <c r="A47" s="569"/>
      <c r="B47" s="65"/>
      <c r="C47" s="65"/>
      <c r="K47" s="60"/>
      <c r="L47" s="65"/>
      <c r="M47" s="65"/>
      <c r="N47" s="60"/>
      <c r="O47" s="60"/>
      <c r="P47" s="60"/>
      <c r="Q47" s="60"/>
      <c r="R47" s="65"/>
      <c r="S47" s="60"/>
      <c r="T47" s="60"/>
      <c r="U47" s="306"/>
      <c r="V47" s="60"/>
      <c r="W47" s="60"/>
      <c r="X47" s="60"/>
      <c r="Y47" s="60"/>
      <c r="Z47" s="60"/>
      <c r="AA47" s="7"/>
      <c r="AB47" s="139"/>
      <c r="AC47" s="139"/>
      <c r="AD47" s="139"/>
      <c r="AE47" s="139"/>
      <c r="AF47" s="200">
        <v>11</v>
      </c>
    </row>
    <row r="48" spans="1:32" s="200" customFormat="1" ht="11.45" customHeight="1">
      <c r="A48" s="569"/>
      <c r="B48" s="65"/>
      <c r="C48" s="65"/>
      <c r="K48" s="60"/>
      <c r="L48" s="65"/>
      <c r="M48" s="65"/>
      <c r="N48" s="60"/>
      <c r="O48" s="60"/>
      <c r="P48" s="60"/>
      <c r="Q48" s="60"/>
      <c r="R48" s="65"/>
      <c r="S48" s="60"/>
      <c r="T48" s="60"/>
      <c r="U48" s="306"/>
      <c r="V48" s="60"/>
      <c r="W48" s="60"/>
      <c r="X48" s="60"/>
      <c r="Y48" s="60"/>
      <c r="Z48" s="60"/>
      <c r="AA48" s="7"/>
      <c r="AB48" s="139"/>
      <c r="AC48" s="139"/>
      <c r="AD48" s="139"/>
      <c r="AE48" s="139"/>
      <c r="AF48" s="200">
        <v>11</v>
      </c>
    </row>
    <row r="49" spans="1:32" s="200" customFormat="1" ht="11.45" customHeight="1">
      <c r="A49" s="569"/>
      <c r="B49" s="65"/>
      <c r="C49" s="65"/>
      <c r="K49" s="60"/>
      <c r="L49" s="65"/>
      <c r="M49" s="65"/>
      <c r="N49" s="60"/>
      <c r="O49" s="60"/>
      <c r="P49" s="60"/>
      <c r="Q49" s="60"/>
      <c r="R49" s="65"/>
      <c r="S49" s="60"/>
      <c r="T49" s="60"/>
      <c r="U49" s="306"/>
      <c r="V49" s="60"/>
      <c r="W49" s="60"/>
      <c r="X49" s="60"/>
      <c r="Y49" s="60"/>
      <c r="Z49" s="60"/>
      <c r="AA49" s="7"/>
      <c r="AB49" s="139"/>
      <c r="AC49" s="139"/>
      <c r="AD49" s="139"/>
      <c r="AE49" s="139"/>
      <c r="AF49" s="200">
        <v>11</v>
      </c>
    </row>
    <row r="50" spans="1:32" s="200" customFormat="1" ht="11.45" customHeight="1">
      <c r="A50" s="569"/>
      <c r="B50" s="65"/>
      <c r="C50" s="65"/>
      <c r="K50" s="60"/>
      <c r="L50" s="65"/>
      <c r="M50" s="65"/>
      <c r="N50" s="60"/>
      <c r="O50" s="60"/>
      <c r="P50" s="60"/>
      <c r="Q50" s="60"/>
      <c r="R50" s="65"/>
      <c r="S50" s="60"/>
      <c r="T50" s="60"/>
      <c r="U50" s="306"/>
      <c r="V50" s="60"/>
      <c r="W50" s="60"/>
      <c r="X50" s="60"/>
      <c r="Y50" s="60"/>
      <c r="Z50" s="60"/>
      <c r="AA50" s="7"/>
      <c r="AB50" s="139"/>
      <c r="AC50" s="139"/>
      <c r="AD50" s="139"/>
      <c r="AE50" s="139"/>
      <c r="AF50" s="200">
        <v>11</v>
      </c>
    </row>
    <row r="51" spans="1:32" s="200" customFormat="1" ht="11.45" customHeight="1">
      <c r="A51" s="569"/>
      <c r="B51" s="65"/>
      <c r="C51" s="65"/>
      <c r="K51" s="60"/>
      <c r="L51" s="65"/>
      <c r="M51" s="65"/>
      <c r="N51" s="60"/>
      <c r="O51" s="60"/>
      <c r="P51" s="60"/>
      <c r="Q51" s="60"/>
      <c r="R51" s="65"/>
      <c r="S51" s="60"/>
      <c r="T51" s="60"/>
      <c r="U51" s="306"/>
      <c r="V51" s="60"/>
      <c r="W51" s="60"/>
      <c r="X51" s="60"/>
      <c r="Y51" s="60"/>
      <c r="Z51" s="60"/>
      <c r="AA51" s="7"/>
      <c r="AB51" s="139"/>
      <c r="AC51" s="139"/>
      <c r="AD51" s="139"/>
      <c r="AE51" s="139"/>
      <c r="AF51" s="200">
        <v>11</v>
      </c>
    </row>
    <row r="52" spans="1:32" s="200" customFormat="1" ht="11.45" customHeight="1">
      <c r="A52" s="569"/>
      <c r="B52" s="65"/>
      <c r="C52" s="65"/>
      <c r="K52" s="60"/>
      <c r="L52" s="65"/>
      <c r="M52" s="65"/>
      <c r="N52" s="60"/>
      <c r="O52" s="60"/>
      <c r="P52" s="60"/>
      <c r="Q52" s="60"/>
      <c r="R52" s="65"/>
      <c r="S52" s="60"/>
      <c r="T52" s="60"/>
      <c r="U52" s="306"/>
      <c r="V52" s="60"/>
      <c r="W52" s="60"/>
      <c r="X52" s="60"/>
      <c r="Y52" s="60"/>
      <c r="Z52" s="60"/>
      <c r="AA52" s="7"/>
      <c r="AB52" s="139"/>
      <c r="AC52" s="139"/>
      <c r="AD52" s="139"/>
      <c r="AE52" s="139"/>
      <c r="AF52" s="200">
        <v>11</v>
      </c>
    </row>
    <row r="53" spans="1:32" s="200" customFormat="1" ht="11.45" customHeight="1">
      <c r="A53" s="569"/>
      <c r="B53" s="65"/>
      <c r="C53" s="65"/>
      <c r="K53" s="60"/>
      <c r="L53" s="65"/>
      <c r="M53" s="65"/>
      <c r="N53" s="60"/>
      <c r="O53" s="60"/>
      <c r="P53" s="60"/>
      <c r="Q53" s="60"/>
      <c r="R53" s="65"/>
      <c r="S53" s="60"/>
      <c r="T53" s="60"/>
      <c r="U53" s="306"/>
      <c r="V53" s="60"/>
      <c r="W53" s="60"/>
      <c r="X53" s="60"/>
      <c r="Y53" s="60"/>
      <c r="Z53" s="60"/>
      <c r="AA53" s="7"/>
      <c r="AB53" s="139"/>
      <c r="AC53" s="139"/>
      <c r="AD53" s="139"/>
      <c r="AE53" s="139"/>
      <c r="AF53" s="200">
        <v>11</v>
      </c>
    </row>
    <row r="54" spans="1:32" s="200" customFormat="1" ht="11.45" customHeight="1">
      <c r="A54" s="569"/>
      <c r="B54" s="65"/>
      <c r="C54" s="65"/>
      <c r="K54" s="60"/>
      <c r="L54" s="65"/>
      <c r="M54" s="65"/>
      <c r="N54" s="60"/>
      <c r="O54" s="60"/>
      <c r="P54" s="60"/>
      <c r="Q54" s="60"/>
      <c r="R54" s="65"/>
      <c r="S54" s="60"/>
      <c r="T54" s="60"/>
      <c r="U54" s="306"/>
      <c r="V54" s="60"/>
      <c r="W54" s="60"/>
      <c r="X54" s="60"/>
      <c r="Y54" s="60"/>
      <c r="Z54" s="60"/>
      <c r="AA54" s="7"/>
      <c r="AB54" s="139"/>
      <c r="AC54" s="139"/>
      <c r="AD54" s="139"/>
      <c r="AE54" s="139"/>
      <c r="AF54" s="200">
        <v>11</v>
      </c>
    </row>
    <row r="55" spans="1:32" s="200" customFormat="1" ht="11.45" customHeight="1">
      <c r="A55" s="569"/>
      <c r="B55" s="65"/>
      <c r="C55" s="65"/>
      <c r="K55" s="60"/>
      <c r="L55" s="65"/>
      <c r="M55" s="65"/>
      <c r="N55" s="60"/>
      <c r="O55" s="60"/>
      <c r="P55" s="60"/>
      <c r="Q55" s="60"/>
      <c r="R55" s="65"/>
      <c r="S55" s="60"/>
      <c r="T55" s="60"/>
      <c r="U55" s="306"/>
      <c r="V55" s="60"/>
      <c r="W55" s="60"/>
      <c r="X55" s="60"/>
      <c r="Y55" s="60"/>
      <c r="Z55" s="60"/>
      <c r="AA55" s="7"/>
      <c r="AB55" s="139"/>
      <c r="AC55" s="139"/>
      <c r="AD55" s="139"/>
      <c r="AE55" s="139"/>
      <c r="AF55" s="200">
        <v>11</v>
      </c>
    </row>
    <row r="56" spans="1:32" s="200" customFormat="1" ht="11.45" customHeight="1">
      <c r="A56" s="569"/>
      <c r="B56" s="65"/>
      <c r="C56" s="65"/>
      <c r="K56" s="60"/>
      <c r="L56" s="65"/>
      <c r="M56" s="65"/>
      <c r="N56" s="60"/>
      <c r="O56" s="60"/>
      <c r="P56" s="60"/>
      <c r="Q56" s="60"/>
      <c r="R56" s="65"/>
      <c r="S56" s="60"/>
      <c r="T56" s="60"/>
      <c r="U56" s="306"/>
      <c r="V56" s="60"/>
      <c r="W56" s="60"/>
      <c r="X56" s="60"/>
      <c r="Y56" s="60"/>
      <c r="Z56" s="60"/>
      <c r="AA56" s="7"/>
      <c r="AB56" s="139"/>
      <c r="AC56" s="139"/>
      <c r="AD56" s="139"/>
      <c r="AE56" s="139"/>
      <c r="AF56" s="200">
        <v>11</v>
      </c>
    </row>
    <row r="57" spans="1:32" s="200" customFormat="1" ht="11.45" customHeight="1">
      <c r="A57" s="569"/>
      <c r="B57" s="65"/>
      <c r="C57" s="65"/>
      <c r="K57" s="60"/>
      <c r="L57" s="65"/>
      <c r="M57" s="65"/>
      <c r="N57" s="60"/>
      <c r="O57" s="60"/>
      <c r="P57" s="60"/>
      <c r="Q57" s="60"/>
      <c r="R57" s="65"/>
      <c r="S57" s="60"/>
      <c r="T57" s="60"/>
      <c r="U57" s="306"/>
      <c r="V57" s="60"/>
      <c r="W57" s="60"/>
      <c r="X57" s="60"/>
      <c r="Y57" s="60"/>
      <c r="Z57" s="60"/>
      <c r="AA57" s="7"/>
      <c r="AB57" s="139"/>
      <c r="AC57" s="139"/>
      <c r="AD57" s="139"/>
      <c r="AE57" s="139"/>
      <c r="AF57" s="200">
        <v>11</v>
      </c>
    </row>
    <row r="58" spans="1:32" s="200" customFormat="1" ht="11.45" customHeight="1">
      <c r="A58" s="569"/>
      <c r="B58" s="65"/>
      <c r="C58" s="65"/>
      <c r="K58" s="60"/>
      <c r="L58" s="65"/>
      <c r="M58" s="65"/>
      <c r="N58" s="60"/>
      <c r="O58" s="60"/>
      <c r="P58" s="60"/>
      <c r="Q58" s="60"/>
      <c r="R58" s="65"/>
      <c r="S58" s="60"/>
      <c r="T58" s="60"/>
      <c r="U58" s="306"/>
      <c r="V58" s="60"/>
      <c r="W58" s="60"/>
      <c r="X58" s="60"/>
      <c r="Y58" s="60"/>
      <c r="Z58" s="60"/>
      <c r="AA58" s="7"/>
      <c r="AB58" s="139"/>
      <c r="AC58" s="139"/>
      <c r="AD58" s="139"/>
      <c r="AE58" s="139"/>
      <c r="AF58" s="200">
        <v>11</v>
      </c>
    </row>
    <row r="59" spans="1:32" s="200" customFormat="1" ht="11.45" customHeight="1">
      <c r="A59" s="569"/>
      <c r="B59" s="65"/>
      <c r="C59" s="65"/>
      <c r="K59" s="60"/>
      <c r="L59" s="65"/>
      <c r="M59" s="65"/>
      <c r="N59" s="60"/>
      <c r="O59" s="60"/>
      <c r="P59" s="60"/>
      <c r="Q59" s="60"/>
      <c r="R59" s="65"/>
      <c r="S59" s="60"/>
      <c r="T59" s="60"/>
      <c r="U59" s="306"/>
      <c r="V59" s="60"/>
      <c r="W59" s="60"/>
      <c r="X59" s="60"/>
      <c r="Y59" s="60"/>
      <c r="Z59" s="60"/>
      <c r="AA59" s="7"/>
      <c r="AB59" s="139"/>
      <c r="AC59" s="139"/>
      <c r="AD59" s="139"/>
      <c r="AE59" s="139"/>
      <c r="AF59" s="200">
        <v>11</v>
      </c>
    </row>
    <row r="60" spans="1:32" s="200" customFormat="1" ht="11.45" customHeight="1">
      <c r="A60" s="569"/>
      <c r="B60" s="65"/>
      <c r="C60" s="65"/>
      <c r="K60" s="60"/>
      <c r="L60" s="65"/>
      <c r="M60" s="65"/>
      <c r="N60" s="60"/>
      <c r="O60" s="60"/>
      <c r="P60" s="60"/>
      <c r="Q60" s="60"/>
      <c r="R60" s="65"/>
      <c r="S60" s="60"/>
      <c r="T60" s="60"/>
      <c r="U60" s="306"/>
      <c r="V60" s="60"/>
      <c r="W60" s="60"/>
      <c r="X60" s="60"/>
      <c r="Y60" s="60"/>
      <c r="Z60" s="60"/>
      <c r="AA60" s="7"/>
      <c r="AB60" s="139"/>
      <c r="AC60" s="139"/>
      <c r="AD60" s="139"/>
      <c r="AE60" s="139"/>
      <c r="AF60" s="200">
        <v>11</v>
      </c>
    </row>
    <row r="61" spans="1:32" s="200" customFormat="1" ht="11.45" customHeight="1">
      <c r="A61" s="569"/>
      <c r="B61" s="65"/>
      <c r="C61" s="65"/>
      <c r="K61" s="60"/>
      <c r="L61" s="65"/>
      <c r="M61" s="65"/>
      <c r="N61" s="60"/>
      <c r="O61" s="60"/>
      <c r="P61" s="60"/>
      <c r="Q61" s="60"/>
      <c r="R61" s="65"/>
      <c r="S61" s="60"/>
      <c r="T61" s="60"/>
      <c r="U61" s="306"/>
      <c r="V61" s="60"/>
      <c r="W61" s="60"/>
      <c r="X61" s="60"/>
      <c r="Y61" s="60"/>
      <c r="Z61" s="60"/>
      <c r="AA61" s="7"/>
      <c r="AB61" s="139"/>
      <c r="AC61" s="139"/>
      <c r="AD61" s="139"/>
      <c r="AE61" s="139"/>
      <c r="AF61" s="200">
        <v>11</v>
      </c>
    </row>
    <row r="62" spans="1:32" s="200" customFormat="1" ht="11.45" customHeight="1">
      <c r="A62" s="569"/>
      <c r="B62" s="65"/>
      <c r="C62" s="65"/>
      <c r="K62" s="60"/>
      <c r="L62" s="65"/>
      <c r="M62" s="65"/>
      <c r="N62" s="60"/>
      <c r="O62" s="60"/>
      <c r="P62" s="60"/>
      <c r="Q62" s="60"/>
      <c r="R62" s="65"/>
      <c r="S62" s="60"/>
      <c r="T62" s="60"/>
      <c r="U62" s="306"/>
      <c r="V62" s="60"/>
      <c r="W62" s="60"/>
      <c r="X62" s="60"/>
      <c r="Y62" s="60"/>
      <c r="Z62" s="60"/>
      <c r="AA62" s="7"/>
      <c r="AB62" s="139"/>
      <c r="AC62" s="139"/>
      <c r="AD62" s="139"/>
      <c r="AE62" s="139"/>
      <c r="AF62" s="200">
        <v>11</v>
      </c>
    </row>
    <row r="63" spans="1:32" s="200" customFormat="1" ht="11.45" customHeight="1">
      <c r="A63" s="569"/>
      <c r="B63" s="65"/>
      <c r="C63" s="65"/>
      <c r="K63" s="60"/>
      <c r="L63" s="65"/>
      <c r="M63" s="65"/>
      <c r="N63" s="60"/>
      <c r="O63" s="60"/>
      <c r="P63" s="60"/>
      <c r="Q63" s="60"/>
      <c r="R63" s="65"/>
      <c r="S63" s="60"/>
      <c r="T63" s="60"/>
      <c r="U63" s="306"/>
      <c r="V63" s="60"/>
      <c r="W63" s="60"/>
      <c r="X63" s="60"/>
      <c r="Y63" s="60"/>
      <c r="Z63" s="60"/>
      <c r="AA63" s="7"/>
      <c r="AB63" s="139"/>
      <c r="AC63" s="139"/>
      <c r="AD63" s="139"/>
      <c r="AE63" s="139"/>
      <c r="AF63" s="200">
        <v>11</v>
      </c>
    </row>
    <row r="64" spans="1:32" s="200" customFormat="1" ht="11.45" customHeight="1">
      <c r="A64" s="569"/>
      <c r="B64" s="65"/>
      <c r="C64" s="65"/>
      <c r="K64" s="60"/>
      <c r="L64" s="65"/>
      <c r="M64" s="65"/>
      <c r="N64" s="60"/>
      <c r="O64" s="60"/>
      <c r="P64" s="60"/>
      <c r="Q64" s="60"/>
      <c r="R64" s="65"/>
      <c r="S64" s="60"/>
      <c r="T64" s="60"/>
      <c r="U64" s="306"/>
      <c r="V64" s="60"/>
      <c r="W64" s="60"/>
      <c r="X64" s="60"/>
      <c r="Y64" s="60"/>
      <c r="Z64" s="60"/>
      <c r="AA64" s="7"/>
      <c r="AB64" s="139"/>
      <c r="AC64" s="139"/>
      <c r="AD64" s="139"/>
      <c r="AE64" s="139"/>
      <c r="AF64" s="200">
        <v>11</v>
      </c>
    </row>
    <row r="65" spans="1:32" s="200" customFormat="1" ht="11.45" customHeight="1">
      <c r="A65" s="569"/>
      <c r="B65" s="65"/>
      <c r="C65" s="65"/>
      <c r="K65" s="60"/>
      <c r="L65" s="65"/>
      <c r="M65" s="65"/>
      <c r="N65" s="60"/>
      <c r="O65" s="60"/>
      <c r="P65" s="60"/>
      <c r="Q65" s="60"/>
      <c r="R65" s="65"/>
      <c r="S65" s="60"/>
      <c r="T65" s="60"/>
      <c r="U65" s="306"/>
      <c r="V65" s="60"/>
      <c r="W65" s="60"/>
      <c r="X65" s="60"/>
      <c r="Y65" s="60"/>
      <c r="Z65" s="60"/>
      <c r="AA65" s="7"/>
      <c r="AB65" s="139"/>
      <c r="AC65" s="139"/>
      <c r="AD65" s="139"/>
      <c r="AE65" s="139"/>
      <c r="AF65" s="200">
        <v>11</v>
      </c>
    </row>
    <row r="66" spans="1:32" s="200" customFormat="1" ht="11.45" customHeight="1">
      <c r="A66" s="569"/>
      <c r="B66" s="65"/>
      <c r="C66" s="65"/>
      <c r="K66" s="60"/>
      <c r="L66" s="65"/>
      <c r="M66" s="65"/>
      <c r="N66" s="60"/>
      <c r="O66" s="60"/>
      <c r="P66" s="60"/>
      <c r="Q66" s="60"/>
      <c r="R66" s="65"/>
      <c r="S66" s="60"/>
      <c r="T66" s="60"/>
      <c r="U66" s="306"/>
      <c r="V66" s="60"/>
      <c r="W66" s="60"/>
      <c r="X66" s="60"/>
      <c r="Y66" s="60"/>
      <c r="Z66" s="60"/>
      <c r="AA66" s="7"/>
      <c r="AB66" s="139"/>
      <c r="AC66" s="139"/>
      <c r="AD66" s="139"/>
      <c r="AE66" s="139"/>
      <c r="AF66" s="200">
        <v>11</v>
      </c>
    </row>
    <row r="67" spans="1:32" s="200" customFormat="1" ht="11.45" customHeight="1">
      <c r="A67" s="569"/>
      <c r="B67" s="65"/>
      <c r="C67" s="65"/>
      <c r="K67" s="60"/>
      <c r="L67" s="65"/>
      <c r="M67" s="65"/>
      <c r="N67" s="60"/>
      <c r="O67" s="60"/>
      <c r="P67" s="60"/>
      <c r="Q67" s="60"/>
      <c r="R67" s="65"/>
      <c r="S67" s="60"/>
      <c r="T67" s="60"/>
      <c r="U67" s="306"/>
      <c r="V67" s="60"/>
      <c r="W67" s="60"/>
      <c r="X67" s="60"/>
      <c r="Y67" s="60"/>
      <c r="Z67" s="60"/>
      <c r="AA67" s="7"/>
      <c r="AB67" s="139"/>
      <c r="AC67" s="139"/>
      <c r="AD67" s="139"/>
      <c r="AE67" s="139"/>
      <c r="AF67" s="200">
        <v>11</v>
      </c>
    </row>
    <row r="68" spans="1:32" s="200" customFormat="1" ht="11.45" customHeight="1">
      <c r="A68" s="569"/>
      <c r="B68" s="65"/>
      <c r="C68" s="65"/>
      <c r="K68" s="60"/>
      <c r="L68" s="65"/>
      <c r="M68" s="65"/>
      <c r="N68" s="60"/>
      <c r="O68" s="60"/>
      <c r="P68" s="60"/>
      <c r="Q68" s="60"/>
      <c r="R68" s="65"/>
      <c r="S68" s="60"/>
      <c r="T68" s="60"/>
      <c r="U68" s="306"/>
      <c r="V68" s="60"/>
      <c r="W68" s="60"/>
      <c r="X68" s="60"/>
      <c r="Y68" s="60"/>
      <c r="Z68" s="60"/>
      <c r="AA68" s="7"/>
      <c r="AB68" s="139"/>
      <c r="AC68" s="139"/>
      <c r="AD68" s="139"/>
      <c r="AE68" s="139"/>
      <c r="AF68" s="200">
        <v>11</v>
      </c>
    </row>
    <row r="69" spans="1:32" s="200" customFormat="1" ht="11.45" customHeight="1">
      <c r="A69" s="569"/>
      <c r="B69" s="65"/>
      <c r="C69" s="65"/>
      <c r="K69" s="60"/>
      <c r="L69" s="65"/>
      <c r="M69" s="65"/>
      <c r="N69" s="60"/>
      <c r="O69" s="60"/>
      <c r="P69" s="60"/>
      <c r="Q69" s="60"/>
      <c r="R69" s="65"/>
      <c r="S69" s="60"/>
      <c r="T69" s="60"/>
      <c r="U69" s="306"/>
      <c r="V69" s="60"/>
      <c r="W69" s="60"/>
      <c r="X69" s="60"/>
      <c r="Y69" s="60"/>
      <c r="Z69" s="60"/>
      <c r="AA69" s="7"/>
      <c r="AB69" s="139"/>
      <c r="AC69" s="139"/>
      <c r="AD69" s="139"/>
      <c r="AE69" s="139"/>
      <c r="AF69" s="200">
        <v>11</v>
      </c>
    </row>
    <row r="70" spans="1:32" s="200" customFormat="1" ht="11.45" customHeight="1">
      <c r="A70" s="569"/>
      <c r="B70" s="65"/>
      <c r="C70" s="65"/>
      <c r="K70" s="60"/>
      <c r="L70" s="65"/>
      <c r="M70" s="65"/>
      <c r="N70" s="60"/>
      <c r="O70" s="60"/>
      <c r="P70" s="60"/>
      <c r="Q70" s="60"/>
      <c r="R70" s="65"/>
      <c r="S70" s="60"/>
      <c r="T70" s="60"/>
      <c r="U70" s="306"/>
      <c r="V70" s="60"/>
      <c r="W70" s="60"/>
      <c r="X70" s="60"/>
      <c r="Y70" s="60"/>
      <c r="Z70" s="60"/>
      <c r="AA70" s="7"/>
      <c r="AB70" s="139"/>
      <c r="AC70" s="139"/>
      <c r="AD70" s="139"/>
      <c r="AE70" s="139"/>
      <c r="AF70" s="200">
        <v>11</v>
      </c>
    </row>
    <row r="71" spans="1:32" s="200" customFormat="1" ht="11.45" customHeight="1">
      <c r="A71" s="569"/>
      <c r="B71" s="65"/>
      <c r="C71" s="65"/>
      <c r="K71" s="60"/>
      <c r="L71" s="65"/>
      <c r="M71" s="65"/>
      <c r="N71" s="60"/>
      <c r="O71" s="60"/>
      <c r="P71" s="60"/>
      <c r="Q71" s="60"/>
      <c r="R71" s="65"/>
      <c r="S71" s="60"/>
      <c r="T71" s="60"/>
      <c r="U71" s="306"/>
      <c r="V71" s="60"/>
      <c r="W71" s="60"/>
      <c r="X71" s="60"/>
      <c r="Y71" s="60"/>
      <c r="Z71" s="60"/>
      <c r="AA71" s="7"/>
      <c r="AB71" s="139"/>
      <c r="AC71" s="139"/>
      <c r="AD71" s="139"/>
      <c r="AE71" s="139"/>
      <c r="AF71" s="200">
        <v>11</v>
      </c>
    </row>
    <row r="72" spans="1:32" s="200" customFormat="1" ht="11.45" customHeight="1">
      <c r="A72" s="569"/>
      <c r="B72" s="65"/>
      <c r="C72" s="65"/>
      <c r="K72" s="60"/>
      <c r="L72" s="65"/>
      <c r="M72" s="65"/>
      <c r="N72" s="60"/>
      <c r="O72" s="60"/>
      <c r="P72" s="60"/>
      <c r="Q72" s="60"/>
      <c r="R72" s="65"/>
      <c r="S72" s="60"/>
      <c r="T72" s="60"/>
      <c r="U72" s="306"/>
      <c r="V72" s="60"/>
      <c r="W72" s="60"/>
      <c r="X72" s="60"/>
      <c r="Y72" s="60"/>
      <c r="Z72" s="60"/>
      <c r="AA72" s="7"/>
      <c r="AB72" s="139"/>
      <c r="AC72" s="139"/>
      <c r="AD72" s="139"/>
      <c r="AE72" s="139"/>
      <c r="AF72" s="200">
        <v>11</v>
      </c>
    </row>
    <row r="73" spans="1:32" s="200" customFormat="1" ht="11.45" customHeight="1">
      <c r="A73" s="569"/>
      <c r="B73" s="65"/>
      <c r="C73" s="65"/>
      <c r="K73" s="60"/>
      <c r="L73" s="65"/>
      <c r="M73" s="65"/>
      <c r="N73" s="60"/>
      <c r="O73" s="60"/>
      <c r="P73" s="60"/>
      <c r="Q73" s="60"/>
      <c r="R73" s="65"/>
      <c r="S73" s="60"/>
      <c r="T73" s="60"/>
      <c r="U73" s="306"/>
      <c r="V73" s="60"/>
      <c r="W73" s="60"/>
      <c r="X73" s="60"/>
      <c r="Y73" s="60"/>
      <c r="Z73" s="60"/>
      <c r="AA73" s="7"/>
      <c r="AB73" s="139"/>
      <c r="AC73" s="139"/>
      <c r="AD73" s="139"/>
      <c r="AE73" s="139"/>
      <c r="AF73" s="200">
        <v>11</v>
      </c>
    </row>
    <row r="74" spans="1:32" s="200" customFormat="1" ht="11.45" customHeight="1">
      <c r="A74" s="569"/>
      <c r="B74" s="65"/>
      <c r="C74" s="65"/>
      <c r="K74" s="60"/>
      <c r="L74" s="65"/>
      <c r="M74" s="65"/>
      <c r="N74" s="60"/>
      <c r="O74" s="60"/>
      <c r="P74" s="60"/>
      <c r="Q74" s="60"/>
      <c r="R74" s="65"/>
      <c r="S74" s="60"/>
      <c r="T74" s="60"/>
      <c r="U74" s="306"/>
      <c r="V74" s="60"/>
      <c r="W74" s="60"/>
      <c r="X74" s="60"/>
      <c r="Y74" s="60"/>
      <c r="Z74" s="60"/>
      <c r="AA74" s="7"/>
      <c r="AB74" s="139"/>
      <c r="AC74" s="139"/>
      <c r="AD74" s="139"/>
      <c r="AE74" s="139"/>
      <c r="AF74" s="200">
        <v>11</v>
      </c>
    </row>
    <row r="75" spans="1:32" s="200" customFormat="1" ht="11.45" customHeight="1">
      <c r="A75" s="569"/>
      <c r="B75" s="65"/>
      <c r="C75" s="65"/>
      <c r="K75" s="60"/>
      <c r="L75" s="65"/>
      <c r="M75" s="65"/>
      <c r="N75" s="60"/>
      <c r="O75" s="60"/>
      <c r="P75" s="60"/>
      <c r="Q75" s="60"/>
      <c r="R75" s="65"/>
      <c r="S75" s="60"/>
      <c r="T75" s="60"/>
      <c r="U75" s="306"/>
      <c r="V75" s="60"/>
      <c r="W75" s="60"/>
      <c r="X75" s="60"/>
      <c r="Y75" s="60"/>
      <c r="Z75" s="60"/>
      <c r="AA75" s="7"/>
      <c r="AB75" s="139"/>
      <c r="AC75" s="139"/>
      <c r="AD75" s="139"/>
      <c r="AE75" s="139"/>
      <c r="AF75" s="200">
        <v>11</v>
      </c>
    </row>
    <row r="76" spans="1:32" s="200" customFormat="1" ht="11.45" customHeight="1">
      <c r="A76" s="569"/>
      <c r="B76" s="65"/>
      <c r="C76" s="65"/>
      <c r="K76" s="60"/>
      <c r="L76" s="65"/>
      <c r="M76" s="65"/>
      <c r="N76" s="60"/>
      <c r="O76" s="60"/>
      <c r="P76" s="60"/>
      <c r="Q76" s="60"/>
      <c r="R76" s="65"/>
      <c r="S76" s="60"/>
      <c r="T76" s="60"/>
      <c r="U76" s="306"/>
      <c r="V76" s="60"/>
      <c r="W76" s="60"/>
      <c r="X76" s="60"/>
      <c r="Y76" s="60"/>
      <c r="Z76" s="60"/>
      <c r="AA76" s="7"/>
      <c r="AB76" s="139"/>
      <c r="AC76" s="139"/>
      <c r="AD76" s="139"/>
      <c r="AE76" s="139"/>
      <c r="AF76" s="200">
        <v>11</v>
      </c>
    </row>
    <row r="77" spans="1:32" s="200" customFormat="1" ht="11.45" customHeight="1">
      <c r="A77" s="569"/>
      <c r="B77" s="65"/>
      <c r="C77" s="65"/>
      <c r="K77" s="60"/>
      <c r="L77" s="65"/>
      <c r="M77" s="65"/>
      <c r="N77" s="60"/>
      <c r="O77" s="60"/>
      <c r="P77" s="60"/>
      <c r="Q77" s="60"/>
      <c r="R77" s="65"/>
      <c r="S77" s="60"/>
      <c r="T77" s="60"/>
      <c r="U77" s="306"/>
      <c r="V77" s="60"/>
      <c r="W77" s="60"/>
      <c r="X77" s="60"/>
      <c r="Y77" s="60"/>
      <c r="Z77" s="60"/>
      <c r="AA77" s="7"/>
      <c r="AB77" s="139"/>
      <c r="AC77" s="139"/>
      <c r="AD77" s="139"/>
      <c r="AE77" s="139"/>
      <c r="AF77" s="200">
        <v>11</v>
      </c>
    </row>
    <row r="78" spans="1:32" s="200" customFormat="1" ht="11.45" customHeight="1">
      <c r="A78" s="569"/>
      <c r="B78" s="65"/>
      <c r="C78" s="65"/>
      <c r="K78" s="60"/>
      <c r="L78" s="65"/>
      <c r="M78" s="65"/>
      <c r="N78" s="60"/>
      <c r="O78" s="60"/>
      <c r="P78" s="60"/>
      <c r="Q78" s="60"/>
      <c r="R78" s="65"/>
      <c r="S78" s="60"/>
      <c r="T78" s="60"/>
      <c r="U78" s="306"/>
      <c r="V78" s="60"/>
      <c r="W78" s="60"/>
      <c r="X78" s="60"/>
      <c r="Y78" s="60"/>
      <c r="Z78" s="60"/>
      <c r="AA78" s="7"/>
      <c r="AB78" s="139"/>
      <c r="AC78" s="139"/>
      <c r="AD78" s="139"/>
      <c r="AE78" s="139"/>
      <c r="AF78" s="200">
        <v>11</v>
      </c>
    </row>
    <row r="79" spans="1:32" s="200" customFormat="1" ht="11.45" customHeight="1">
      <c r="A79" s="569"/>
      <c r="B79" s="65"/>
      <c r="C79" s="65"/>
      <c r="K79" s="60"/>
      <c r="L79" s="65"/>
      <c r="M79" s="65"/>
      <c r="N79" s="60"/>
      <c r="O79" s="60"/>
      <c r="P79" s="60"/>
      <c r="Q79" s="60"/>
      <c r="R79" s="65"/>
      <c r="S79" s="60"/>
      <c r="T79" s="60"/>
      <c r="U79" s="306"/>
      <c r="V79" s="60"/>
      <c r="W79" s="60"/>
      <c r="X79" s="60"/>
      <c r="Y79" s="60"/>
      <c r="Z79" s="60"/>
      <c r="AA79" s="7"/>
      <c r="AB79" s="139"/>
      <c r="AC79" s="139"/>
      <c r="AD79" s="139"/>
      <c r="AE79" s="139"/>
      <c r="AF79" s="200">
        <v>11</v>
      </c>
    </row>
    <row r="80" spans="1:32" s="200" customFormat="1" ht="11.45" customHeight="1">
      <c r="A80" s="569"/>
      <c r="B80" s="65"/>
      <c r="C80" s="65"/>
      <c r="K80" s="60"/>
      <c r="L80" s="65"/>
      <c r="M80" s="65"/>
      <c r="N80" s="60"/>
      <c r="O80" s="60"/>
      <c r="P80" s="60"/>
      <c r="Q80" s="60"/>
      <c r="R80" s="65"/>
      <c r="S80" s="60"/>
      <c r="T80" s="60"/>
      <c r="U80" s="306"/>
      <c r="V80" s="60"/>
      <c r="W80" s="60"/>
      <c r="X80" s="60"/>
      <c r="Y80" s="60"/>
      <c r="Z80" s="60"/>
      <c r="AA80" s="7"/>
      <c r="AB80" s="139"/>
      <c r="AC80" s="139"/>
      <c r="AD80" s="139"/>
      <c r="AE80" s="139"/>
      <c r="AF80" s="200">
        <v>11</v>
      </c>
    </row>
    <row r="81" spans="1:32" s="200" customFormat="1" ht="11.45" customHeight="1">
      <c r="A81" s="569"/>
      <c r="B81" s="65"/>
      <c r="C81" s="65"/>
      <c r="K81" s="60"/>
      <c r="L81" s="65"/>
      <c r="M81" s="65"/>
      <c r="N81" s="60"/>
      <c r="O81" s="60"/>
      <c r="P81" s="60"/>
      <c r="Q81" s="60"/>
      <c r="R81" s="65"/>
      <c r="S81" s="60"/>
      <c r="T81" s="60"/>
      <c r="U81" s="306"/>
      <c r="V81" s="60"/>
      <c r="W81" s="60"/>
      <c r="X81" s="60"/>
      <c r="Y81" s="60"/>
      <c r="Z81" s="60"/>
      <c r="AA81" s="7"/>
      <c r="AB81" s="139"/>
      <c r="AC81" s="139"/>
      <c r="AD81" s="139"/>
      <c r="AE81" s="139"/>
      <c r="AF81" s="200">
        <v>11</v>
      </c>
    </row>
    <row r="82" spans="1:32" s="200" customFormat="1" ht="11.45" customHeight="1">
      <c r="A82" s="569"/>
      <c r="B82" s="65"/>
      <c r="C82" s="65"/>
      <c r="K82" s="60"/>
      <c r="L82" s="65"/>
      <c r="M82" s="65"/>
      <c r="N82" s="60"/>
      <c r="O82" s="60"/>
      <c r="P82" s="60"/>
      <c r="Q82" s="60"/>
      <c r="R82" s="65"/>
      <c r="S82" s="60"/>
      <c r="T82" s="60"/>
      <c r="U82" s="306"/>
      <c r="V82" s="60"/>
      <c r="W82" s="60"/>
      <c r="X82" s="60"/>
      <c r="Y82" s="60"/>
      <c r="Z82" s="60"/>
      <c r="AA82" s="7"/>
      <c r="AB82" s="139"/>
      <c r="AC82" s="139"/>
      <c r="AD82" s="139"/>
      <c r="AE82" s="139"/>
      <c r="AF82" s="200">
        <v>11</v>
      </c>
    </row>
    <row r="83" spans="1:32" s="200" customFormat="1" ht="11.45" customHeight="1">
      <c r="A83" s="569"/>
      <c r="B83" s="65"/>
      <c r="C83" s="65"/>
      <c r="K83" s="60"/>
      <c r="L83" s="65"/>
      <c r="M83" s="65"/>
      <c r="N83" s="60"/>
      <c r="O83" s="60"/>
      <c r="P83" s="60"/>
      <c r="Q83" s="60"/>
      <c r="R83" s="65"/>
      <c r="S83" s="60"/>
      <c r="T83" s="60"/>
      <c r="U83" s="306"/>
      <c r="V83" s="60"/>
      <c r="W83" s="60"/>
      <c r="X83" s="60"/>
      <c r="Y83" s="60"/>
      <c r="Z83" s="60"/>
      <c r="AA83" s="7"/>
      <c r="AB83" s="139"/>
      <c r="AC83" s="139"/>
      <c r="AD83" s="139"/>
      <c r="AE83" s="139"/>
      <c r="AF83" s="200">
        <v>11</v>
      </c>
    </row>
    <row r="84" spans="1:32" s="200" customFormat="1" ht="11.45" customHeight="1">
      <c r="A84" s="569"/>
      <c r="B84" s="65"/>
      <c r="C84" s="65"/>
      <c r="K84" s="60"/>
      <c r="L84" s="65"/>
      <c r="M84" s="65"/>
      <c r="N84" s="60"/>
      <c r="O84" s="60"/>
      <c r="P84" s="60"/>
      <c r="Q84" s="60"/>
      <c r="R84" s="65"/>
      <c r="S84" s="60"/>
      <c r="T84" s="60"/>
      <c r="U84" s="306"/>
      <c r="V84" s="60"/>
      <c r="W84" s="60"/>
      <c r="X84" s="60"/>
      <c r="Y84" s="60"/>
      <c r="Z84" s="60"/>
      <c r="AA84" s="7"/>
      <c r="AB84" s="139"/>
      <c r="AC84" s="139"/>
      <c r="AD84" s="139"/>
      <c r="AE84" s="139"/>
      <c r="AF84" s="200">
        <v>11</v>
      </c>
    </row>
    <row r="85" spans="1:32" s="200" customFormat="1" ht="11.45" customHeight="1">
      <c r="A85" s="569"/>
      <c r="B85" s="65"/>
      <c r="C85" s="65"/>
      <c r="K85" s="60"/>
      <c r="L85" s="65"/>
      <c r="M85" s="65"/>
      <c r="N85" s="60"/>
      <c r="O85" s="60"/>
      <c r="P85" s="60"/>
      <c r="Q85" s="60"/>
      <c r="R85" s="65"/>
      <c r="S85" s="60"/>
      <c r="T85" s="60"/>
      <c r="U85" s="306"/>
      <c r="V85" s="60"/>
      <c r="W85" s="60"/>
      <c r="X85" s="60"/>
      <c r="Y85" s="60"/>
      <c r="Z85" s="60"/>
      <c r="AA85" s="7"/>
      <c r="AB85" s="139"/>
      <c r="AC85" s="139"/>
      <c r="AD85" s="139"/>
      <c r="AE85" s="139"/>
      <c r="AF85" s="200">
        <v>11</v>
      </c>
    </row>
    <row r="86" spans="1:32" s="200" customFormat="1" ht="11.45" customHeight="1">
      <c r="A86" s="569"/>
      <c r="B86" s="65"/>
      <c r="C86" s="65"/>
      <c r="K86" s="60"/>
      <c r="L86" s="65"/>
      <c r="M86" s="65"/>
      <c r="N86" s="60"/>
      <c r="O86" s="60"/>
      <c r="P86" s="60"/>
      <c r="Q86" s="60"/>
      <c r="R86" s="65"/>
      <c r="S86" s="60"/>
      <c r="T86" s="60"/>
      <c r="U86" s="306"/>
      <c r="V86" s="60"/>
      <c r="W86" s="60"/>
      <c r="X86" s="60"/>
      <c r="Y86" s="60"/>
      <c r="Z86" s="60"/>
      <c r="AA86" s="7"/>
      <c r="AB86" s="139"/>
      <c r="AC86" s="139"/>
      <c r="AD86" s="139"/>
      <c r="AE86" s="139"/>
      <c r="AF86" s="200">
        <v>11</v>
      </c>
    </row>
    <row r="87" spans="1:32" s="200" customFormat="1" ht="11.45" customHeight="1">
      <c r="A87" s="569"/>
      <c r="B87" s="65"/>
      <c r="C87" s="65"/>
      <c r="K87" s="60"/>
      <c r="L87" s="65"/>
      <c r="M87" s="65"/>
      <c r="N87" s="60"/>
      <c r="O87" s="60"/>
      <c r="P87" s="60"/>
      <c r="Q87" s="60"/>
      <c r="R87" s="65"/>
      <c r="S87" s="60"/>
      <c r="T87" s="60"/>
      <c r="U87" s="306"/>
      <c r="V87" s="60"/>
      <c r="W87" s="60"/>
      <c r="X87" s="60"/>
      <c r="Y87" s="60"/>
      <c r="Z87" s="60"/>
      <c r="AA87" s="7"/>
      <c r="AB87" s="139"/>
      <c r="AC87" s="139"/>
      <c r="AD87" s="139"/>
      <c r="AE87" s="139"/>
      <c r="AF87" s="200">
        <v>11</v>
      </c>
    </row>
    <row r="88" spans="1:32" s="200" customFormat="1" ht="11.45" customHeight="1">
      <c r="A88" s="569"/>
      <c r="B88" s="65"/>
      <c r="C88" s="65"/>
      <c r="K88" s="60"/>
      <c r="L88" s="65"/>
      <c r="M88" s="65"/>
      <c r="N88" s="60"/>
      <c r="O88" s="60"/>
      <c r="P88" s="60"/>
      <c r="Q88" s="60"/>
      <c r="R88" s="65"/>
      <c r="S88" s="60"/>
      <c r="T88" s="60"/>
      <c r="U88" s="306"/>
      <c r="V88" s="60"/>
      <c r="W88" s="60"/>
      <c r="X88" s="60"/>
      <c r="Y88" s="60"/>
      <c r="Z88" s="60"/>
      <c r="AA88" s="7"/>
      <c r="AB88" s="139"/>
      <c r="AC88" s="139"/>
      <c r="AD88" s="139"/>
      <c r="AE88" s="139"/>
      <c r="AF88" s="200">
        <v>11</v>
      </c>
    </row>
    <row r="89" spans="1:32" s="200" customFormat="1" ht="11.45" customHeight="1">
      <c r="A89" s="569"/>
      <c r="B89" s="65"/>
      <c r="C89" s="65"/>
      <c r="K89" s="60"/>
      <c r="L89" s="65"/>
      <c r="M89" s="65"/>
      <c r="N89" s="60"/>
      <c r="O89" s="60"/>
      <c r="P89" s="60"/>
      <c r="Q89" s="60"/>
      <c r="R89" s="65"/>
      <c r="S89" s="60"/>
      <c r="T89" s="60"/>
      <c r="U89" s="306"/>
      <c r="V89" s="60"/>
      <c r="W89" s="60"/>
      <c r="X89" s="60"/>
      <c r="Y89" s="60"/>
      <c r="Z89" s="60"/>
      <c r="AA89" s="7"/>
      <c r="AB89" s="139"/>
      <c r="AC89" s="139"/>
      <c r="AD89" s="139"/>
      <c r="AE89" s="139"/>
      <c r="AF89" s="200">
        <v>11</v>
      </c>
    </row>
    <row r="90" spans="1:32" s="200" customFormat="1" ht="11.45" customHeight="1">
      <c r="A90" s="569"/>
      <c r="B90" s="65"/>
      <c r="C90" s="65"/>
      <c r="K90" s="60"/>
      <c r="L90" s="65"/>
      <c r="M90" s="65"/>
      <c r="N90" s="60"/>
      <c r="O90" s="60"/>
      <c r="P90" s="60"/>
      <c r="Q90" s="60"/>
      <c r="R90" s="65"/>
      <c r="S90" s="60"/>
      <c r="T90" s="60"/>
      <c r="U90" s="306"/>
      <c r="V90" s="60"/>
      <c r="W90" s="60"/>
      <c r="X90" s="60"/>
      <c r="Y90" s="60"/>
      <c r="Z90" s="60"/>
      <c r="AA90" s="7"/>
      <c r="AB90" s="139"/>
      <c r="AC90" s="139"/>
      <c r="AD90" s="139"/>
      <c r="AE90" s="139"/>
      <c r="AF90" s="200">
        <v>11</v>
      </c>
    </row>
    <row r="91" spans="1:32" s="200" customFormat="1" ht="11.45" customHeight="1">
      <c r="A91" s="569"/>
      <c r="B91" s="65"/>
      <c r="C91" s="65"/>
      <c r="K91" s="60"/>
      <c r="L91" s="65"/>
      <c r="M91" s="65"/>
      <c r="N91" s="60"/>
      <c r="O91" s="60"/>
      <c r="P91" s="60"/>
      <c r="Q91" s="60"/>
      <c r="R91" s="65"/>
      <c r="S91" s="60"/>
      <c r="T91" s="60"/>
      <c r="U91" s="306"/>
      <c r="V91" s="60"/>
      <c r="W91" s="60"/>
      <c r="X91" s="60"/>
      <c r="Y91" s="60"/>
      <c r="Z91" s="60"/>
      <c r="AA91" s="7"/>
      <c r="AB91" s="139"/>
      <c r="AC91" s="139"/>
      <c r="AD91" s="139"/>
      <c r="AE91" s="139"/>
      <c r="AF91" s="200">
        <v>11</v>
      </c>
    </row>
    <row r="92" spans="1:32" s="200" customFormat="1" ht="11.45" customHeight="1">
      <c r="A92" s="569"/>
      <c r="B92" s="65"/>
      <c r="C92" s="65"/>
      <c r="K92" s="60"/>
      <c r="L92" s="65"/>
      <c r="M92" s="65"/>
      <c r="N92" s="60"/>
      <c r="O92" s="60"/>
      <c r="P92" s="60"/>
      <c r="Q92" s="60"/>
      <c r="R92" s="65"/>
      <c r="S92" s="60"/>
      <c r="T92" s="60"/>
      <c r="U92" s="306"/>
      <c r="V92" s="60"/>
      <c r="W92" s="60"/>
      <c r="X92" s="60"/>
      <c r="Y92" s="60"/>
      <c r="Z92" s="60"/>
      <c r="AA92" s="7"/>
      <c r="AB92" s="139"/>
      <c r="AC92" s="139"/>
      <c r="AD92" s="139"/>
      <c r="AE92" s="139"/>
      <c r="AF92" s="200">
        <v>11</v>
      </c>
    </row>
    <row r="93" spans="1:32" s="200" customFormat="1" ht="11.45" customHeight="1">
      <c r="A93" s="569"/>
      <c r="B93" s="65"/>
      <c r="C93" s="65"/>
      <c r="K93" s="60"/>
      <c r="L93" s="65"/>
      <c r="M93" s="65"/>
      <c r="N93" s="60"/>
      <c r="O93" s="60"/>
      <c r="P93" s="60"/>
      <c r="Q93" s="60"/>
      <c r="R93" s="65"/>
      <c r="S93" s="60"/>
      <c r="T93" s="60"/>
      <c r="U93" s="306"/>
      <c r="V93" s="60"/>
      <c r="W93" s="60"/>
      <c r="X93" s="60"/>
      <c r="Y93" s="60"/>
      <c r="Z93" s="60"/>
      <c r="AA93" s="7"/>
      <c r="AB93" s="139"/>
      <c r="AC93" s="139"/>
      <c r="AD93" s="139"/>
      <c r="AE93" s="139"/>
      <c r="AF93" s="200">
        <v>11</v>
      </c>
    </row>
    <row r="94" spans="1:32" s="200" customFormat="1" ht="11.45" customHeight="1">
      <c r="A94" s="569"/>
      <c r="B94" s="65"/>
      <c r="C94" s="65"/>
      <c r="K94" s="60"/>
      <c r="L94" s="65"/>
      <c r="M94" s="65"/>
      <c r="N94" s="60"/>
      <c r="O94" s="60"/>
      <c r="P94" s="60"/>
      <c r="Q94" s="60"/>
      <c r="R94" s="65"/>
      <c r="S94" s="60"/>
      <c r="T94" s="60"/>
      <c r="U94" s="306"/>
      <c r="V94" s="60"/>
      <c r="W94" s="60"/>
      <c r="X94" s="60"/>
      <c r="Y94" s="60"/>
      <c r="Z94" s="60"/>
      <c r="AA94" s="7"/>
      <c r="AB94" s="139"/>
      <c r="AC94" s="139"/>
      <c r="AD94" s="139"/>
      <c r="AE94" s="139"/>
      <c r="AF94" s="200">
        <v>11</v>
      </c>
    </row>
    <row r="95" spans="1:32" s="200" customFormat="1" ht="11.45" customHeight="1">
      <c r="A95" s="569"/>
      <c r="B95" s="65"/>
      <c r="C95" s="65"/>
      <c r="K95" s="60"/>
      <c r="L95" s="65"/>
      <c r="M95" s="65"/>
      <c r="N95" s="60"/>
      <c r="O95" s="60"/>
      <c r="P95" s="60"/>
      <c r="Q95" s="60"/>
      <c r="R95" s="65"/>
      <c r="S95" s="60"/>
      <c r="T95" s="60"/>
      <c r="U95" s="306"/>
      <c r="V95" s="60"/>
      <c r="W95" s="60"/>
      <c r="X95" s="60"/>
      <c r="Y95" s="60"/>
      <c r="Z95" s="60"/>
      <c r="AA95" s="7"/>
      <c r="AB95" s="139"/>
      <c r="AC95" s="139"/>
      <c r="AD95" s="139"/>
      <c r="AE95" s="139"/>
      <c r="AF95" s="200">
        <v>11</v>
      </c>
    </row>
    <row r="96" spans="1:32" s="200" customFormat="1" ht="11.45" customHeight="1">
      <c r="A96" s="569"/>
      <c r="B96" s="65"/>
      <c r="C96" s="65"/>
      <c r="K96" s="60"/>
      <c r="L96" s="65"/>
      <c r="M96" s="65"/>
      <c r="N96" s="60"/>
      <c r="O96" s="60"/>
      <c r="P96" s="60"/>
      <c r="Q96" s="60"/>
      <c r="R96" s="65"/>
      <c r="S96" s="60"/>
      <c r="T96" s="60"/>
      <c r="U96" s="306"/>
      <c r="V96" s="60"/>
      <c r="W96" s="60"/>
      <c r="X96" s="60"/>
      <c r="Y96" s="60"/>
      <c r="Z96" s="60"/>
      <c r="AA96" s="7"/>
      <c r="AB96" s="139"/>
      <c r="AC96" s="139"/>
      <c r="AD96" s="139"/>
      <c r="AE96" s="139"/>
      <c r="AF96" s="200">
        <v>11</v>
      </c>
    </row>
    <row r="97" spans="1:32" s="200" customFormat="1" ht="11.45" customHeight="1">
      <c r="A97" s="569"/>
      <c r="B97" s="65"/>
      <c r="C97" s="65"/>
      <c r="K97" s="60"/>
      <c r="L97" s="65"/>
      <c r="M97" s="65"/>
      <c r="N97" s="60"/>
      <c r="O97" s="60"/>
      <c r="P97" s="60"/>
      <c r="Q97" s="60"/>
      <c r="R97" s="65"/>
      <c r="S97" s="60"/>
      <c r="T97" s="60"/>
      <c r="U97" s="306"/>
      <c r="V97" s="60"/>
      <c r="W97" s="60"/>
      <c r="X97" s="60"/>
      <c r="Y97" s="60"/>
      <c r="Z97" s="60"/>
      <c r="AA97" s="7"/>
      <c r="AB97" s="139"/>
      <c r="AC97" s="139"/>
      <c r="AD97" s="139"/>
      <c r="AE97" s="139"/>
      <c r="AF97" s="200">
        <v>11</v>
      </c>
    </row>
    <row r="98" spans="1:32" s="200" customFormat="1" ht="11.45" customHeight="1">
      <c r="A98" s="569"/>
      <c r="B98" s="65"/>
      <c r="C98" s="65"/>
      <c r="K98" s="60"/>
      <c r="L98" s="65"/>
      <c r="M98" s="65"/>
      <c r="N98" s="60"/>
      <c r="O98" s="60"/>
      <c r="P98" s="60"/>
      <c r="Q98" s="60"/>
      <c r="R98" s="65"/>
      <c r="S98" s="60"/>
      <c r="T98" s="60"/>
      <c r="U98" s="306"/>
      <c r="V98" s="60"/>
      <c r="W98" s="60"/>
      <c r="X98" s="60"/>
      <c r="Y98" s="60"/>
      <c r="Z98" s="60"/>
      <c r="AA98" s="7"/>
      <c r="AB98" s="139"/>
      <c r="AC98" s="139"/>
      <c r="AD98" s="139"/>
      <c r="AE98" s="139"/>
      <c r="AF98" s="200">
        <v>11</v>
      </c>
    </row>
    <row r="99" spans="1:32" s="200" customFormat="1" ht="11.45" customHeight="1">
      <c r="A99" s="569"/>
      <c r="B99" s="65"/>
      <c r="C99" s="65"/>
      <c r="K99" s="60"/>
      <c r="L99" s="65"/>
      <c r="M99" s="65"/>
      <c r="N99" s="60"/>
      <c r="O99" s="60"/>
      <c r="P99" s="60"/>
      <c r="Q99" s="60"/>
      <c r="R99" s="65"/>
      <c r="S99" s="60"/>
      <c r="T99" s="60"/>
      <c r="U99" s="306"/>
      <c r="V99" s="60"/>
      <c r="W99" s="60"/>
      <c r="X99" s="60"/>
      <c r="Y99" s="60"/>
      <c r="Z99" s="60"/>
      <c r="AA99" s="7"/>
      <c r="AB99" s="139"/>
      <c r="AC99" s="139"/>
      <c r="AD99" s="139"/>
      <c r="AE99" s="139"/>
      <c r="AF99" s="200">
        <v>11</v>
      </c>
    </row>
    <row r="100" spans="1:32" s="200" customFormat="1" ht="11.45" customHeight="1">
      <c r="A100" s="569"/>
      <c r="B100" s="65"/>
      <c r="C100" s="65"/>
      <c r="K100" s="60"/>
      <c r="L100" s="65"/>
      <c r="M100" s="65"/>
      <c r="N100" s="60"/>
      <c r="O100" s="60"/>
      <c r="P100" s="60"/>
      <c r="Q100" s="60"/>
      <c r="R100" s="65"/>
      <c r="S100" s="60"/>
      <c r="T100" s="60"/>
      <c r="U100" s="306"/>
      <c r="V100" s="60"/>
      <c r="W100" s="60"/>
      <c r="X100" s="60"/>
      <c r="Y100" s="60"/>
      <c r="Z100" s="60"/>
      <c r="AA100" s="7"/>
      <c r="AB100" s="139"/>
      <c r="AC100" s="139"/>
      <c r="AD100" s="139"/>
      <c r="AE100" s="139"/>
      <c r="AF100" s="200">
        <v>11</v>
      </c>
    </row>
    <row r="101" spans="1:32" s="200" customFormat="1" ht="11.45" customHeight="1">
      <c r="A101" s="569"/>
      <c r="B101" s="65"/>
      <c r="C101" s="65"/>
      <c r="K101" s="60"/>
      <c r="L101" s="65"/>
      <c r="M101" s="65"/>
      <c r="N101" s="60"/>
      <c r="O101" s="60"/>
      <c r="P101" s="60"/>
      <c r="Q101" s="60"/>
      <c r="R101" s="65"/>
      <c r="S101" s="60"/>
      <c r="T101" s="60"/>
      <c r="U101" s="306"/>
      <c r="V101" s="60"/>
      <c r="W101" s="60"/>
      <c r="X101" s="60"/>
      <c r="Y101" s="60"/>
      <c r="Z101" s="60"/>
      <c r="AA101" s="7"/>
      <c r="AB101" s="139"/>
      <c r="AC101" s="139"/>
      <c r="AD101" s="139"/>
      <c r="AE101" s="139"/>
      <c r="AF101" s="200">
        <v>11</v>
      </c>
    </row>
    <row r="102" spans="1:32" s="200" customFormat="1" ht="11.45" customHeight="1">
      <c r="A102" s="569"/>
      <c r="B102" s="65"/>
      <c r="C102" s="65"/>
      <c r="K102" s="60"/>
      <c r="L102" s="65"/>
      <c r="M102" s="65"/>
      <c r="N102" s="60"/>
      <c r="O102" s="60"/>
      <c r="P102" s="60"/>
      <c r="Q102" s="60"/>
      <c r="R102" s="65"/>
      <c r="S102" s="60"/>
      <c r="T102" s="60"/>
      <c r="U102" s="306"/>
      <c r="V102" s="60"/>
      <c r="W102" s="60"/>
      <c r="X102" s="60"/>
      <c r="Y102" s="60"/>
      <c r="Z102" s="60"/>
      <c r="AA102" s="7"/>
      <c r="AB102" s="139"/>
      <c r="AC102" s="139"/>
      <c r="AD102" s="139"/>
      <c r="AE102" s="139"/>
      <c r="AF102" s="200">
        <v>11</v>
      </c>
    </row>
    <row r="103" spans="1:32" s="200" customFormat="1" ht="11.45" customHeight="1">
      <c r="A103" s="569"/>
      <c r="B103" s="65"/>
      <c r="C103" s="65"/>
      <c r="K103" s="60"/>
      <c r="L103" s="65"/>
      <c r="M103" s="65"/>
      <c r="N103" s="60"/>
      <c r="O103" s="60"/>
      <c r="P103" s="60"/>
      <c r="Q103" s="60"/>
      <c r="R103" s="65"/>
      <c r="S103" s="60"/>
      <c r="T103" s="60"/>
      <c r="U103" s="306"/>
      <c r="V103" s="60"/>
      <c r="W103" s="60"/>
      <c r="X103" s="60"/>
      <c r="Y103" s="60"/>
      <c r="Z103" s="60"/>
      <c r="AA103" s="7"/>
      <c r="AB103" s="139"/>
      <c r="AC103" s="139"/>
      <c r="AD103" s="139"/>
      <c r="AE103" s="139"/>
      <c r="AF103" s="200">
        <v>11</v>
      </c>
    </row>
    <row r="104" spans="1:32" s="200" customFormat="1" ht="11.45" customHeight="1">
      <c r="A104" s="569"/>
      <c r="B104" s="65"/>
      <c r="C104" s="65"/>
      <c r="K104" s="60"/>
      <c r="L104" s="65"/>
      <c r="M104" s="65"/>
      <c r="N104" s="60"/>
      <c r="O104" s="60"/>
      <c r="P104" s="60"/>
      <c r="Q104" s="60"/>
      <c r="R104" s="65"/>
      <c r="S104" s="60"/>
      <c r="T104" s="60"/>
      <c r="U104" s="306"/>
      <c r="V104" s="60"/>
      <c r="W104" s="60"/>
      <c r="X104" s="60"/>
      <c r="Y104" s="60"/>
      <c r="Z104" s="60"/>
      <c r="AA104" s="7"/>
      <c r="AB104" s="139"/>
      <c r="AC104" s="139"/>
      <c r="AD104" s="139"/>
      <c r="AE104" s="139"/>
      <c r="AF104" s="200">
        <v>11</v>
      </c>
    </row>
    <row r="105" spans="1:32" s="200" customFormat="1" ht="11.45" customHeight="1">
      <c r="A105" s="569"/>
      <c r="B105" s="65"/>
      <c r="C105" s="65"/>
      <c r="K105" s="60"/>
      <c r="L105" s="65"/>
      <c r="M105" s="65"/>
      <c r="N105" s="60"/>
      <c r="O105" s="60"/>
      <c r="P105" s="60"/>
      <c r="Q105" s="60"/>
      <c r="R105" s="65"/>
      <c r="S105" s="60"/>
      <c r="T105" s="60"/>
      <c r="U105" s="306"/>
      <c r="V105" s="60"/>
      <c r="W105" s="60"/>
      <c r="X105" s="60"/>
      <c r="Y105" s="60"/>
      <c r="Z105" s="60"/>
      <c r="AA105" s="7"/>
      <c r="AB105" s="139"/>
      <c r="AC105" s="139"/>
      <c r="AD105" s="139"/>
      <c r="AE105" s="139"/>
      <c r="AF105" s="200">
        <v>11</v>
      </c>
    </row>
    <row r="106" spans="1:32" s="200" customFormat="1" ht="11.45" customHeight="1">
      <c r="A106" s="569"/>
      <c r="B106" s="65"/>
      <c r="C106" s="65"/>
      <c r="K106" s="60"/>
      <c r="L106" s="65"/>
      <c r="M106" s="65"/>
      <c r="N106" s="60"/>
      <c r="O106" s="60"/>
      <c r="P106" s="60"/>
      <c r="Q106" s="60"/>
      <c r="R106" s="65"/>
      <c r="S106" s="60"/>
      <c r="T106" s="60"/>
      <c r="U106" s="306"/>
      <c r="V106" s="60"/>
      <c r="W106" s="60"/>
      <c r="X106" s="60"/>
      <c r="Y106" s="60"/>
      <c r="Z106" s="60"/>
      <c r="AA106" s="7"/>
      <c r="AB106" s="139"/>
      <c r="AC106" s="139"/>
      <c r="AD106" s="139"/>
      <c r="AE106" s="139"/>
      <c r="AF106" s="200">
        <v>11</v>
      </c>
    </row>
    <row r="107" spans="1:32" s="200" customFormat="1" ht="11.45" customHeight="1">
      <c r="A107" s="569"/>
      <c r="B107" s="65"/>
      <c r="C107" s="65"/>
      <c r="K107" s="60"/>
      <c r="L107" s="65"/>
      <c r="M107" s="65"/>
      <c r="N107" s="60"/>
      <c r="O107" s="60"/>
      <c r="P107" s="60"/>
      <c r="Q107" s="60"/>
      <c r="R107" s="65"/>
      <c r="S107" s="60"/>
      <c r="T107" s="60"/>
      <c r="U107" s="306"/>
      <c r="V107" s="60"/>
      <c r="W107" s="60"/>
      <c r="X107" s="60"/>
      <c r="Y107" s="60"/>
      <c r="Z107" s="60"/>
      <c r="AA107" s="7"/>
      <c r="AB107" s="139"/>
      <c r="AC107" s="139"/>
      <c r="AD107" s="139"/>
      <c r="AE107" s="139"/>
      <c r="AF107" s="200">
        <v>11</v>
      </c>
    </row>
    <row r="108" spans="1:32" s="200" customFormat="1" ht="11.45" customHeight="1">
      <c r="A108" s="569"/>
      <c r="B108" s="65"/>
      <c r="C108" s="65"/>
      <c r="K108" s="60"/>
      <c r="L108" s="65"/>
      <c r="M108" s="65"/>
      <c r="N108" s="60"/>
      <c r="O108" s="60"/>
      <c r="P108" s="60"/>
      <c r="Q108" s="60"/>
      <c r="R108" s="65"/>
      <c r="S108" s="60"/>
      <c r="T108" s="60"/>
      <c r="U108" s="306"/>
      <c r="V108" s="60"/>
      <c r="W108" s="60"/>
      <c r="X108" s="60"/>
      <c r="Y108" s="60"/>
      <c r="Z108" s="60"/>
      <c r="AA108" s="7"/>
      <c r="AB108" s="139"/>
      <c r="AC108" s="139"/>
      <c r="AD108" s="139"/>
      <c r="AE108" s="139"/>
      <c r="AF108" s="200">
        <v>11</v>
      </c>
    </row>
    <row r="109" spans="1:32" s="200" customFormat="1" ht="11.45" customHeight="1">
      <c r="A109" s="569"/>
      <c r="B109" s="65"/>
      <c r="C109" s="65"/>
      <c r="K109" s="60"/>
      <c r="L109" s="65"/>
      <c r="M109" s="65"/>
      <c r="N109" s="60"/>
      <c r="O109" s="60"/>
      <c r="P109" s="60"/>
      <c r="Q109" s="60"/>
      <c r="R109" s="65"/>
      <c r="S109" s="60"/>
      <c r="T109" s="60"/>
      <c r="U109" s="306"/>
      <c r="V109" s="60"/>
      <c r="W109" s="60"/>
      <c r="X109" s="60"/>
      <c r="Y109" s="60"/>
      <c r="Z109" s="60"/>
      <c r="AA109" s="7"/>
      <c r="AB109" s="139"/>
      <c r="AC109" s="139"/>
      <c r="AD109" s="139"/>
      <c r="AE109" s="139"/>
      <c r="AF109" s="200">
        <v>11</v>
      </c>
    </row>
    <row r="110" spans="1:32" s="200" customFormat="1" ht="11.45" customHeight="1">
      <c r="A110" s="569"/>
      <c r="B110" s="65"/>
      <c r="C110" s="65"/>
      <c r="K110" s="60"/>
      <c r="L110" s="65"/>
      <c r="M110" s="65"/>
      <c r="N110" s="60"/>
      <c r="O110" s="60"/>
      <c r="P110" s="60"/>
      <c r="Q110" s="60"/>
      <c r="R110" s="65"/>
      <c r="S110" s="60"/>
      <c r="T110" s="60"/>
      <c r="U110" s="306"/>
      <c r="V110" s="60"/>
      <c r="W110" s="60"/>
      <c r="X110" s="60"/>
      <c r="Y110" s="60"/>
      <c r="Z110" s="60"/>
      <c r="AA110" s="7"/>
      <c r="AB110" s="139"/>
      <c r="AC110" s="139"/>
      <c r="AD110" s="139"/>
      <c r="AE110" s="139"/>
      <c r="AF110" s="200">
        <v>11</v>
      </c>
    </row>
    <row r="111" spans="1:32" s="200" customFormat="1" ht="11.45" customHeight="1">
      <c r="A111" s="569"/>
      <c r="B111" s="65"/>
      <c r="C111" s="65"/>
      <c r="K111" s="60"/>
      <c r="L111" s="65"/>
      <c r="M111" s="65"/>
      <c r="N111" s="60"/>
      <c r="O111" s="60"/>
      <c r="P111" s="60"/>
      <c r="Q111" s="60"/>
      <c r="R111" s="65"/>
      <c r="S111" s="60"/>
      <c r="T111" s="60"/>
      <c r="U111" s="306"/>
      <c r="V111" s="60"/>
      <c r="W111" s="60"/>
      <c r="X111" s="60"/>
      <c r="Y111" s="60"/>
      <c r="Z111" s="60"/>
      <c r="AA111" s="7"/>
      <c r="AB111" s="139"/>
      <c r="AC111" s="139"/>
      <c r="AD111" s="139"/>
      <c r="AE111" s="139"/>
      <c r="AF111" s="200">
        <v>11</v>
      </c>
    </row>
    <row r="112" spans="1:32" s="200" customFormat="1" ht="11.45" customHeight="1">
      <c r="A112" s="569"/>
      <c r="B112" s="65"/>
      <c r="C112" s="65"/>
      <c r="K112" s="60"/>
      <c r="L112" s="65"/>
      <c r="M112" s="65"/>
      <c r="N112" s="60"/>
      <c r="O112" s="60"/>
      <c r="P112" s="60"/>
      <c r="Q112" s="60"/>
      <c r="R112" s="65"/>
      <c r="S112" s="60"/>
      <c r="T112" s="60"/>
      <c r="U112" s="306"/>
      <c r="V112" s="60"/>
      <c r="W112" s="60"/>
      <c r="X112" s="60"/>
      <c r="Y112" s="60"/>
      <c r="Z112" s="60"/>
      <c r="AA112" s="7"/>
      <c r="AB112" s="139"/>
      <c r="AC112" s="139"/>
      <c r="AD112" s="139"/>
      <c r="AE112" s="139"/>
      <c r="AF112" s="200">
        <v>11</v>
      </c>
    </row>
    <row r="113" spans="1:32" s="200" customFormat="1" ht="11.45" customHeight="1">
      <c r="A113" s="569"/>
      <c r="B113" s="65"/>
      <c r="C113" s="65"/>
      <c r="K113" s="60"/>
      <c r="L113" s="65"/>
      <c r="M113" s="65"/>
      <c r="N113" s="60"/>
      <c r="O113" s="60"/>
      <c r="P113" s="60"/>
      <c r="Q113" s="60"/>
      <c r="R113" s="65"/>
      <c r="S113" s="60"/>
      <c r="T113" s="60"/>
      <c r="U113" s="306"/>
      <c r="V113" s="60"/>
      <c r="W113" s="60"/>
      <c r="X113" s="60"/>
      <c r="Y113" s="60"/>
      <c r="Z113" s="60"/>
      <c r="AA113" s="7"/>
      <c r="AB113" s="139"/>
      <c r="AC113" s="139"/>
      <c r="AD113" s="139"/>
      <c r="AE113" s="139"/>
      <c r="AF113" s="200">
        <v>11</v>
      </c>
    </row>
    <row r="114" spans="1:32" s="200" customFormat="1" ht="11.45" customHeight="1">
      <c r="A114" s="569"/>
      <c r="B114" s="65"/>
      <c r="C114" s="65"/>
      <c r="K114" s="60"/>
      <c r="L114" s="65"/>
      <c r="M114" s="65"/>
      <c r="N114" s="60"/>
      <c r="O114" s="60"/>
      <c r="P114" s="60"/>
      <c r="Q114" s="60"/>
      <c r="R114" s="65"/>
      <c r="S114" s="60"/>
      <c r="T114" s="60"/>
      <c r="U114" s="306"/>
      <c r="V114" s="60"/>
      <c r="W114" s="60"/>
      <c r="X114" s="60"/>
      <c r="Y114" s="60"/>
      <c r="Z114" s="60"/>
      <c r="AA114" s="7"/>
      <c r="AB114" s="139"/>
      <c r="AC114" s="139"/>
      <c r="AD114" s="139"/>
      <c r="AE114" s="139"/>
      <c r="AF114" s="200">
        <v>11</v>
      </c>
    </row>
    <row r="115" spans="1:32" s="200" customFormat="1" ht="11.45" customHeight="1">
      <c r="A115" s="569"/>
      <c r="B115" s="65"/>
      <c r="C115" s="65"/>
      <c r="K115" s="60"/>
      <c r="L115" s="65"/>
      <c r="M115" s="65"/>
      <c r="N115" s="60"/>
      <c r="O115" s="60"/>
      <c r="P115" s="60"/>
      <c r="Q115" s="60"/>
      <c r="R115" s="65"/>
      <c r="S115" s="60"/>
      <c r="T115" s="60"/>
      <c r="U115" s="306"/>
      <c r="V115" s="60"/>
      <c r="W115" s="60"/>
      <c r="X115" s="60"/>
      <c r="Y115" s="60"/>
      <c r="Z115" s="60"/>
      <c r="AA115" s="7"/>
      <c r="AB115" s="139"/>
      <c r="AC115" s="139"/>
      <c r="AD115" s="139"/>
      <c r="AE115" s="139"/>
      <c r="AF115" s="200">
        <v>11</v>
      </c>
    </row>
    <row r="116" spans="1:32" s="200" customFormat="1" ht="11.45" customHeight="1">
      <c r="A116" s="569"/>
      <c r="B116" s="65"/>
      <c r="C116" s="65"/>
      <c r="K116" s="60"/>
      <c r="L116" s="65"/>
      <c r="M116" s="65"/>
      <c r="N116" s="60"/>
      <c r="O116" s="60"/>
      <c r="P116" s="60"/>
      <c r="Q116" s="60"/>
      <c r="R116" s="65"/>
      <c r="S116" s="60"/>
      <c r="T116" s="60"/>
      <c r="U116" s="306"/>
      <c r="V116" s="60"/>
      <c r="W116" s="60"/>
      <c r="X116" s="60"/>
      <c r="Y116" s="60"/>
      <c r="Z116" s="60"/>
      <c r="AA116" s="7"/>
      <c r="AB116" s="139"/>
      <c r="AC116" s="139"/>
      <c r="AD116" s="139"/>
      <c r="AE116" s="139"/>
      <c r="AF116" s="200">
        <v>11</v>
      </c>
    </row>
    <row r="117" spans="1:32" s="200" customFormat="1" ht="11.45" customHeight="1">
      <c r="A117" s="569"/>
      <c r="B117" s="65"/>
      <c r="C117" s="65"/>
      <c r="K117" s="60"/>
      <c r="L117" s="65"/>
      <c r="M117" s="65"/>
      <c r="N117" s="60"/>
      <c r="O117" s="60"/>
      <c r="P117" s="60"/>
      <c r="Q117" s="60"/>
      <c r="R117" s="65"/>
      <c r="S117" s="60"/>
      <c r="T117" s="60"/>
      <c r="U117" s="306"/>
      <c r="V117" s="60"/>
      <c r="W117" s="60"/>
      <c r="X117" s="60"/>
      <c r="Y117" s="60"/>
      <c r="Z117" s="60"/>
      <c r="AA117" s="7"/>
      <c r="AB117" s="139"/>
      <c r="AC117" s="139"/>
      <c r="AD117" s="139"/>
      <c r="AE117" s="139"/>
      <c r="AF117" s="200">
        <v>11</v>
      </c>
    </row>
    <row r="118" spans="1:32" s="200" customFormat="1" ht="11.45" customHeight="1">
      <c r="A118" s="569"/>
      <c r="B118" s="65"/>
      <c r="C118" s="65"/>
      <c r="K118" s="60"/>
      <c r="L118" s="65"/>
      <c r="M118" s="65"/>
      <c r="N118" s="60"/>
      <c r="O118" s="60"/>
      <c r="P118" s="60"/>
      <c r="Q118" s="60"/>
      <c r="R118" s="65"/>
      <c r="S118" s="60"/>
      <c r="T118" s="60"/>
      <c r="U118" s="306"/>
      <c r="V118" s="60"/>
      <c r="W118" s="60"/>
      <c r="X118" s="60"/>
      <c r="Y118" s="60"/>
      <c r="Z118" s="60"/>
      <c r="AA118" s="7"/>
      <c r="AB118" s="139"/>
      <c r="AC118" s="139"/>
      <c r="AD118" s="139"/>
      <c r="AE118" s="139"/>
      <c r="AF118" s="200">
        <v>11</v>
      </c>
    </row>
    <row r="119" spans="1:32" s="200" customFormat="1" ht="11.45" customHeight="1">
      <c r="A119" s="569"/>
      <c r="B119" s="65"/>
      <c r="C119" s="65"/>
      <c r="K119" s="60"/>
      <c r="L119" s="65"/>
      <c r="M119" s="65"/>
      <c r="N119" s="60"/>
      <c r="O119" s="60"/>
      <c r="P119" s="60"/>
      <c r="Q119" s="60"/>
      <c r="R119" s="65"/>
      <c r="S119" s="60"/>
      <c r="T119" s="60"/>
      <c r="U119" s="306"/>
      <c r="V119" s="60"/>
      <c r="W119" s="60"/>
      <c r="X119" s="60"/>
      <c r="Y119" s="60"/>
      <c r="Z119" s="60"/>
      <c r="AA119" s="7"/>
      <c r="AB119" s="139"/>
      <c r="AC119" s="139"/>
      <c r="AD119" s="139"/>
      <c r="AE119" s="139"/>
      <c r="AF119" s="200">
        <v>11</v>
      </c>
    </row>
    <row r="120" spans="1:32" s="200" customFormat="1" ht="11.45" customHeight="1">
      <c r="A120" s="569"/>
      <c r="B120" s="65"/>
      <c r="C120" s="65"/>
      <c r="K120" s="60"/>
      <c r="L120" s="65"/>
      <c r="M120" s="65"/>
      <c r="N120" s="60"/>
      <c r="O120" s="60"/>
      <c r="P120" s="60"/>
      <c r="Q120" s="60"/>
      <c r="R120" s="65"/>
      <c r="S120" s="60"/>
      <c r="T120" s="60"/>
      <c r="U120" s="306"/>
      <c r="V120" s="60"/>
      <c r="W120" s="60"/>
      <c r="X120" s="60"/>
      <c r="Y120" s="60"/>
      <c r="Z120" s="60"/>
      <c r="AA120" s="7"/>
      <c r="AB120" s="139"/>
      <c r="AC120" s="139"/>
      <c r="AD120" s="139"/>
      <c r="AE120" s="139"/>
      <c r="AF120" s="200">
        <v>11</v>
      </c>
    </row>
    <row r="121" spans="1:32" s="200" customFormat="1" ht="11.45" customHeight="1">
      <c r="A121" s="569"/>
      <c r="B121" s="65"/>
      <c r="C121" s="65"/>
      <c r="K121" s="60"/>
      <c r="L121" s="65"/>
      <c r="M121" s="65"/>
      <c r="N121" s="60"/>
      <c r="O121" s="60"/>
      <c r="P121" s="60"/>
      <c r="Q121" s="60"/>
      <c r="R121" s="65"/>
      <c r="S121" s="60"/>
      <c r="T121" s="60"/>
      <c r="U121" s="306"/>
      <c r="V121" s="60"/>
      <c r="W121" s="60"/>
      <c r="X121" s="60"/>
      <c r="Y121" s="60"/>
      <c r="Z121" s="60"/>
      <c r="AA121" s="7"/>
      <c r="AB121" s="139"/>
      <c r="AC121" s="139"/>
      <c r="AD121" s="139"/>
      <c r="AE121" s="139"/>
      <c r="AF121" s="200">
        <v>11</v>
      </c>
    </row>
    <row r="122" spans="1:32" s="200" customFormat="1" ht="11.45" customHeight="1">
      <c r="A122" s="569"/>
      <c r="B122" s="65"/>
      <c r="C122" s="65"/>
      <c r="K122" s="60"/>
      <c r="L122" s="65"/>
      <c r="M122" s="65"/>
      <c r="N122" s="60"/>
      <c r="O122" s="60"/>
      <c r="P122" s="60"/>
      <c r="Q122" s="60"/>
      <c r="R122" s="65"/>
      <c r="S122" s="60"/>
      <c r="T122" s="60"/>
      <c r="U122" s="306"/>
      <c r="V122" s="60"/>
      <c r="W122" s="60"/>
      <c r="X122" s="60"/>
      <c r="Y122" s="60"/>
      <c r="Z122" s="60"/>
      <c r="AA122" s="7"/>
      <c r="AB122" s="139"/>
      <c r="AC122" s="139"/>
      <c r="AD122" s="139"/>
      <c r="AE122" s="139"/>
      <c r="AF122" s="200">
        <v>11</v>
      </c>
    </row>
    <row r="123" spans="1:32" s="200" customFormat="1" ht="11.45" customHeight="1">
      <c r="A123" s="569"/>
      <c r="B123" s="65"/>
      <c r="C123" s="65"/>
      <c r="K123" s="60"/>
      <c r="L123" s="65"/>
      <c r="M123" s="65"/>
      <c r="N123" s="60"/>
      <c r="O123" s="60"/>
      <c r="P123" s="60"/>
      <c r="Q123" s="60"/>
      <c r="R123" s="65"/>
      <c r="S123" s="60"/>
      <c r="T123" s="60"/>
      <c r="U123" s="306"/>
      <c r="V123" s="60"/>
      <c r="W123" s="60"/>
      <c r="X123" s="60"/>
      <c r="Y123" s="60"/>
      <c r="Z123" s="60"/>
      <c r="AA123" s="7"/>
      <c r="AB123" s="139"/>
      <c r="AC123" s="139"/>
      <c r="AD123" s="139"/>
      <c r="AE123" s="139"/>
      <c r="AF123" s="200">
        <v>11</v>
      </c>
    </row>
    <row r="124" spans="1:32" s="200" customFormat="1" ht="11.45" customHeight="1">
      <c r="A124" s="569"/>
      <c r="B124" s="65"/>
      <c r="C124" s="65"/>
      <c r="K124" s="60"/>
      <c r="L124" s="65"/>
      <c r="M124" s="65"/>
      <c r="N124" s="60"/>
      <c r="O124" s="60"/>
      <c r="P124" s="60"/>
      <c r="Q124" s="60"/>
      <c r="R124" s="65"/>
      <c r="S124" s="60"/>
      <c r="T124" s="60"/>
      <c r="U124" s="306"/>
      <c r="V124" s="60"/>
      <c r="W124" s="60"/>
      <c r="X124" s="60"/>
      <c r="Y124" s="60"/>
      <c r="Z124" s="60"/>
      <c r="AA124" s="7"/>
      <c r="AB124" s="139"/>
      <c r="AC124" s="139"/>
      <c r="AD124" s="139"/>
      <c r="AE124" s="139"/>
      <c r="AF124" s="200">
        <v>11</v>
      </c>
    </row>
    <row r="125" spans="1:32" s="200" customFormat="1" ht="11.45" customHeight="1">
      <c r="A125" s="569"/>
      <c r="B125" s="65"/>
      <c r="C125" s="65"/>
      <c r="K125" s="60"/>
      <c r="L125" s="65"/>
      <c r="M125" s="65"/>
      <c r="N125" s="60"/>
      <c r="O125" s="60"/>
      <c r="P125" s="60"/>
      <c r="Q125" s="60"/>
      <c r="R125" s="65"/>
      <c r="S125" s="60"/>
      <c r="T125" s="60"/>
      <c r="U125" s="306"/>
      <c r="V125" s="60"/>
      <c r="W125" s="60"/>
      <c r="X125" s="60"/>
      <c r="Y125" s="60"/>
      <c r="Z125" s="60"/>
      <c r="AA125" s="7"/>
      <c r="AB125" s="139"/>
      <c r="AC125" s="139"/>
      <c r="AD125" s="139"/>
      <c r="AE125" s="139"/>
      <c r="AF125" s="200">
        <v>11</v>
      </c>
    </row>
    <row r="126" spans="1:32" s="200" customFormat="1" ht="11.45" customHeight="1">
      <c r="A126" s="569"/>
      <c r="B126" s="65"/>
      <c r="C126" s="65"/>
      <c r="K126" s="60"/>
      <c r="L126" s="65"/>
      <c r="M126" s="65"/>
      <c r="N126" s="60"/>
      <c r="O126" s="60"/>
      <c r="P126" s="60"/>
      <c r="Q126" s="60"/>
      <c r="R126" s="65"/>
      <c r="S126" s="60"/>
      <c r="T126" s="60"/>
      <c r="U126" s="306"/>
      <c r="V126" s="60"/>
      <c r="W126" s="60"/>
      <c r="X126" s="60"/>
      <c r="Y126" s="60"/>
      <c r="Z126" s="60"/>
      <c r="AA126" s="7"/>
      <c r="AB126" s="139"/>
      <c r="AC126" s="139"/>
      <c r="AD126" s="139"/>
      <c r="AE126" s="139"/>
      <c r="AF126" s="200">
        <v>11</v>
      </c>
    </row>
    <row r="127" spans="1:32" s="200" customFormat="1" ht="11.45" customHeight="1">
      <c r="A127" s="569"/>
      <c r="B127" s="65"/>
      <c r="C127" s="65"/>
      <c r="K127" s="60"/>
      <c r="L127" s="65"/>
      <c r="M127" s="65"/>
      <c r="N127" s="60"/>
      <c r="O127" s="60"/>
      <c r="P127" s="60"/>
      <c r="Q127" s="60"/>
      <c r="R127" s="65"/>
      <c r="S127" s="60"/>
      <c r="T127" s="60"/>
      <c r="U127" s="306"/>
      <c r="V127" s="60"/>
      <c r="W127" s="60"/>
      <c r="X127" s="60"/>
      <c r="Y127" s="60"/>
      <c r="Z127" s="60"/>
      <c r="AA127" s="7"/>
      <c r="AB127" s="139"/>
      <c r="AC127" s="139"/>
      <c r="AD127" s="139"/>
      <c r="AE127" s="139"/>
      <c r="AF127" s="200">
        <v>11</v>
      </c>
    </row>
    <row r="128" spans="1:32" s="200" customFormat="1" ht="11.45" customHeight="1">
      <c r="A128" s="569"/>
      <c r="B128" s="65"/>
      <c r="C128" s="65"/>
      <c r="K128" s="60"/>
      <c r="L128" s="65"/>
      <c r="M128" s="65"/>
      <c r="N128" s="60"/>
      <c r="O128" s="60"/>
      <c r="P128" s="60"/>
      <c r="Q128" s="60"/>
      <c r="R128" s="65"/>
      <c r="S128" s="60"/>
      <c r="T128" s="60"/>
      <c r="U128" s="306"/>
      <c r="V128" s="60"/>
      <c r="W128" s="60"/>
      <c r="X128" s="60"/>
      <c r="Y128" s="60"/>
      <c r="Z128" s="60"/>
      <c r="AA128" s="7"/>
      <c r="AB128" s="139"/>
      <c r="AC128" s="139"/>
      <c r="AD128" s="139"/>
      <c r="AE128" s="139"/>
      <c r="AF128" s="200">
        <v>11</v>
      </c>
    </row>
    <row r="129" spans="1:32" s="200" customFormat="1" ht="11.45" customHeight="1">
      <c r="A129" s="569"/>
      <c r="B129" s="65"/>
      <c r="C129" s="65"/>
      <c r="K129" s="60"/>
      <c r="L129" s="65"/>
      <c r="M129" s="65"/>
      <c r="N129" s="60"/>
      <c r="O129" s="60"/>
      <c r="P129" s="60"/>
      <c r="Q129" s="60"/>
      <c r="R129" s="65"/>
      <c r="S129" s="60"/>
      <c r="T129" s="60"/>
      <c r="U129" s="306"/>
      <c r="V129" s="60"/>
      <c r="W129" s="60"/>
      <c r="X129" s="60"/>
      <c r="Y129" s="60"/>
      <c r="Z129" s="60"/>
      <c r="AA129" s="7"/>
      <c r="AB129" s="139"/>
      <c r="AC129" s="139"/>
      <c r="AD129" s="139"/>
      <c r="AE129" s="139"/>
      <c r="AF129" s="200">
        <v>11</v>
      </c>
    </row>
    <row r="130" spans="1:32" s="200" customFormat="1" ht="11.45" customHeight="1">
      <c r="A130" s="569"/>
      <c r="B130" s="65"/>
      <c r="C130" s="65"/>
      <c r="K130" s="60"/>
      <c r="L130" s="65"/>
      <c r="M130" s="65"/>
      <c r="N130" s="60"/>
      <c r="O130" s="60"/>
      <c r="P130" s="60"/>
      <c r="Q130" s="60"/>
      <c r="R130" s="65"/>
      <c r="S130" s="60"/>
      <c r="T130" s="60"/>
      <c r="U130" s="306"/>
      <c r="V130" s="60"/>
      <c r="W130" s="60"/>
      <c r="X130" s="60"/>
      <c r="Y130" s="60"/>
      <c r="Z130" s="60"/>
      <c r="AA130" s="7"/>
      <c r="AB130" s="139"/>
      <c r="AC130" s="139"/>
      <c r="AD130" s="139"/>
      <c r="AE130" s="139"/>
      <c r="AF130" s="200">
        <v>11</v>
      </c>
    </row>
    <row r="131" spans="1:32" s="200" customFormat="1" ht="11.45" customHeight="1">
      <c r="A131" s="569"/>
      <c r="B131" s="65"/>
      <c r="C131" s="65"/>
      <c r="K131" s="60"/>
      <c r="L131" s="65"/>
      <c r="M131" s="65"/>
      <c r="N131" s="60"/>
      <c r="O131" s="60"/>
      <c r="P131" s="60"/>
      <c r="Q131" s="60"/>
      <c r="R131" s="65"/>
      <c r="S131" s="60"/>
      <c r="T131" s="60"/>
      <c r="U131" s="306"/>
      <c r="V131" s="60"/>
      <c r="W131" s="60"/>
      <c r="X131" s="60"/>
      <c r="Y131" s="60"/>
      <c r="Z131" s="60"/>
      <c r="AA131" s="7"/>
      <c r="AB131" s="139"/>
      <c r="AC131" s="139"/>
      <c r="AD131" s="139"/>
      <c r="AE131" s="139"/>
      <c r="AF131" s="200">
        <v>11</v>
      </c>
    </row>
    <row r="132" spans="1:32" s="200" customFormat="1" ht="11.45" customHeight="1">
      <c r="A132" s="569"/>
      <c r="B132" s="65"/>
      <c r="C132" s="65"/>
      <c r="K132" s="60"/>
      <c r="L132" s="65"/>
      <c r="M132" s="65"/>
      <c r="N132" s="60"/>
      <c r="O132" s="60"/>
      <c r="P132" s="60"/>
      <c r="Q132" s="60"/>
      <c r="R132" s="65"/>
      <c r="S132" s="60"/>
      <c r="T132" s="60"/>
      <c r="U132" s="306"/>
      <c r="V132" s="60"/>
      <c r="W132" s="60"/>
      <c r="X132" s="60"/>
      <c r="Y132" s="60"/>
      <c r="Z132" s="60"/>
      <c r="AA132" s="7"/>
      <c r="AB132" s="139"/>
      <c r="AC132" s="139"/>
      <c r="AD132" s="139"/>
      <c r="AE132" s="139"/>
      <c r="AF132" s="200">
        <v>11</v>
      </c>
    </row>
    <row r="133" spans="1:32" s="200" customFormat="1" ht="11.45" customHeight="1">
      <c r="A133" s="569"/>
      <c r="B133" s="65"/>
      <c r="C133" s="65"/>
      <c r="K133" s="60"/>
      <c r="L133" s="65"/>
      <c r="M133" s="65"/>
      <c r="N133" s="60"/>
      <c r="O133" s="60"/>
      <c r="P133" s="60"/>
      <c r="Q133" s="60"/>
      <c r="R133" s="65"/>
      <c r="S133" s="60"/>
      <c r="T133" s="60"/>
      <c r="U133" s="306"/>
      <c r="V133" s="60"/>
      <c r="W133" s="60"/>
      <c r="X133" s="60"/>
      <c r="Y133" s="60"/>
      <c r="Z133" s="60"/>
      <c r="AA133" s="7"/>
      <c r="AB133" s="139"/>
      <c r="AC133" s="139"/>
      <c r="AD133" s="139"/>
      <c r="AE133" s="139"/>
      <c r="AF133" s="200">
        <v>11</v>
      </c>
    </row>
    <row r="134" spans="1:32" s="200" customFormat="1" ht="11.45" customHeight="1">
      <c r="A134" s="569"/>
      <c r="B134" s="65"/>
      <c r="C134" s="65"/>
      <c r="K134" s="60"/>
      <c r="L134" s="65"/>
      <c r="M134" s="65"/>
      <c r="N134" s="60"/>
      <c r="O134" s="60"/>
      <c r="P134" s="60"/>
      <c r="Q134" s="60"/>
      <c r="R134" s="65"/>
      <c r="S134" s="60"/>
      <c r="T134" s="60"/>
      <c r="U134" s="306"/>
      <c r="V134" s="60"/>
      <c r="W134" s="60"/>
      <c r="X134" s="60"/>
      <c r="Y134" s="60"/>
      <c r="Z134" s="60"/>
      <c r="AA134" s="7"/>
      <c r="AB134" s="139"/>
      <c r="AC134" s="139"/>
      <c r="AD134" s="139"/>
      <c r="AE134" s="139"/>
      <c r="AF134" s="200">
        <v>11</v>
      </c>
    </row>
    <row r="135" spans="1:32" s="200" customFormat="1" ht="11.45" customHeight="1">
      <c r="A135" s="569"/>
      <c r="B135" s="65"/>
      <c r="C135" s="65"/>
      <c r="K135" s="60"/>
      <c r="L135" s="65"/>
      <c r="M135" s="65"/>
      <c r="N135" s="60"/>
      <c r="O135" s="60"/>
      <c r="P135" s="60"/>
      <c r="Q135" s="60"/>
      <c r="R135" s="65"/>
      <c r="S135" s="60"/>
      <c r="T135" s="60"/>
      <c r="U135" s="306"/>
      <c r="V135" s="60"/>
      <c r="W135" s="60"/>
      <c r="X135" s="60"/>
      <c r="Y135" s="60"/>
      <c r="Z135" s="60"/>
      <c r="AA135" s="7"/>
      <c r="AB135" s="139"/>
      <c r="AC135" s="139"/>
      <c r="AD135" s="139"/>
      <c r="AE135" s="139"/>
      <c r="AF135" s="200">
        <v>11</v>
      </c>
    </row>
    <row r="136" spans="1:32" s="200" customFormat="1" ht="11.45" customHeight="1">
      <c r="A136" s="569"/>
      <c r="B136" s="65"/>
      <c r="C136" s="65"/>
      <c r="K136" s="60"/>
      <c r="L136" s="65"/>
      <c r="M136" s="65"/>
      <c r="N136" s="60"/>
      <c r="O136" s="60"/>
      <c r="P136" s="60"/>
      <c r="Q136" s="60"/>
      <c r="R136" s="65"/>
      <c r="S136" s="60"/>
      <c r="T136" s="60"/>
      <c r="U136" s="306"/>
      <c r="V136" s="60"/>
      <c r="W136" s="60"/>
      <c r="X136" s="60"/>
      <c r="Y136" s="60"/>
      <c r="Z136" s="60"/>
      <c r="AA136" s="7"/>
      <c r="AB136" s="139"/>
      <c r="AC136" s="139"/>
      <c r="AD136" s="139"/>
      <c r="AE136" s="139"/>
      <c r="AF136" s="200">
        <v>11</v>
      </c>
    </row>
    <row r="137" spans="1:32" s="200" customFormat="1" ht="11.45" customHeight="1">
      <c r="A137" s="569"/>
      <c r="B137" s="65"/>
      <c r="C137" s="65"/>
      <c r="K137" s="60"/>
      <c r="L137" s="65"/>
      <c r="M137" s="65"/>
      <c r="N137" s="60"/>
      <c r="O137" s="60"/>
      <c r="P137" s="60"/>
      <c r="Q137" s="60"/>
      <c r="R137" s="65"/>
      <c r="S137" s="60"/>
      <c r="T137" s="60"/>
      <c r="U137" s="306"/>
      <c r="V137" s="60"/>
      <c r="W137" s="60"/>
      <c r="X137" s="60"/>
      <c r="Y137" s="60"/>
      <c r="Z137" s="60"/>
      <c r="AA137" s="7"/>
      <c r="AB137" s="139"/>
      <c r="AC137" s="139"/>
      <c r="AD137" s="139"/>
      <c r="AE137" s="139"/>
      <c r="AF137" s="200">
        <v>11</v>
      </c>
    </row>
    <row r="138" spans="1:32" s="200" customFormat="1" ht="11.45" customHeight="1">
      <c r="A138" s="569"/>
      <c r="B138" s="65"/>
      <c r="C138" s="65"/>
      <c r="K138" s="60"/>
      <c r="L138" s="65"/>
      <c r="M138" s="65"/>
      <c r="N138" s="60"/>
      <c r="O138" s="60"/>
      <c r="P138" s="60"/>
      <c r="Q138" s="60"/>
      <c r="R138" s="65"/>
      <c r="S138" s="60"/>
      <c r="T138" s="60"/>
      <c r="U138" s="306"/>
      <c r="V138" s="60"/>
      <c r="W138" s="60"/>
      <c r="X138" s="60"/>
      <c r="Y138" s="60"/>
      <c r="Z138" s="60"/>
      <c r="AA138" s="7"/>
      <c r="AB138" s="139"/>
      <c r="AC138" s="139"/>
      <c r="AD138" s="139"/>
      <c r="AE138" s="139"/>
      <c r="AF138" s="200">
        <v>11</v>
      </c>
    </row>
    <row r="139" spans="1:32" s="200" customFormat="1" ht="11.45" customHeight="1">
      <c r="A139" s="569"/>
      <c r="B139" s="65"/>
      <c r="C139" s="65"/>
      <c r="K139" s="60"/>
      <c r="L139" s="65"/>
      <c r="M139" s="65"/>
      <c r="N139" s="60"/>
      <c r="O139" s="60"/>
      <c r="P139" s="60"/>
      <c r="Q139" s="60"/>
      <c r="R139" s="65"/>
      <c r="S139" s="60"/>
      <c r="T139" s="60"/>
      <c r="U139" s="306"/>
      <c r="V139" s="60"/>
      <c r="W139" s="60"/>
      <c r="X139" s="60"/>
      <c r="Y139" s="60"/>
      <c r="Z139" s="60"/>
      <c r="AA139" s="7"/>
      <c r="AB139" s="139"/>
      <c r="AC139" s="139"/>
      <c r="AD139" s="139"/>
      <c r="AE139" s="139"/>
      <c r="AF139" s="200">
        <v>11</v>
      </c>
    </row>
    <row r="140" spans="1:32" s="200" customFormat="1" ht="11.45" customHeight="1">
      <c r="A140" s="569"/>
      <c r="B140" s="65"/>
      <c r="C140" s="65"/>
      <c r="K140" s="60"/>
      <c r="L140" s="65"/>
      <c r="M140" s="65"/>
      <c r="N140" s="60"/>
      <c r="O140" s="60"/>
      <c r="P140" s="60"/>
      <c r="Q140" s="60"/>
      <c r="R140" s="65"/>
      <c r="S140" s="60"/>
      <c r="T140" s="60"/>
      <c r="U140" s="306"/>
      <c r="V140" s="60"/>
      <c r="W140" s="60"/>
      <c r="X140" s="60"/>
      <c r="Y140" s="60"/>
      <c r="Z140" s="60"/>
      <c r="AA140" s="7"/>
      <c r="AB140" s="139"/>
      <c r="AC140" s="139"/>
      <c r="AD140" s="139"/>
      <c r="AE140" s="139"/>
      <c r="AF140" s="200">
        <v>11</v>
      </c>
    </row>
    <row r="141" spans="1:32" s="200" customFormat="1" ht="11.45" customHeight="1">
      <c r="A141" s="569"/>
      <c r="B141" s="65"/>
      <c r="C141" s="65"/>
      <c r="K141" s="60"/>
      <c r="L141" s="65"/>
      <c r="M141" s="65"/>
      <c r="N141" s="60"/>
      <c r="O141" s="60"/>
      <c r="P141" s="60"/>
      <c r="Q141" s="60"/>
      <c r="R141" s="65"/>
      <c r="S141" s="60"/>
      <c r="T141" s="60"/>
      <c r="U141" s="306"/>
      <c r="V141" s="60"/>
      <c r="W141" s="60"/>
      <c r="X141" s="60"/>
      <c r="Y141" s="60"/>
      <c r="Z141" s="60"/>
      <c r="AA141" s="7"/>
      <c r="AB141" s="139"/>
      <c r="AC141" s="139"/>
      <c r="AD141" s="139"/>
      <c r="AE141" s="139"/>
      <c r="AF141" s="200">
        <v>11</v>
      </c>
    </row>
    <row r="142" spans="1:32" s="200" customFormat="1" ht="11.45" customHeight="1">
      <c r="A142" s="569"/>
      <c r="B142" s="65"/>
      <c r="C142" s="65"/>
      <c r="K142" s="60"/>
      <c r="L142" s="65"/>
      <c r="M142" s="65"/>
      <c r="N142" s="60"/>
      <c r="O142" s="60"/>
      <c r="P142" s="60"/>
      <c r="Q142" s="60"/>
      <c r="R142" s="65"/>
      <c r="S142" s="60"/>
      <c r="T142" s="60"/>
      <c r="U142" s="306"/>
      <c r="V142" s="60"/>
      <c r="W142" s="60"/>
      <c r="X142" s="60"/>
      <c r="Y142" s="60"/>
      <c r="Z142" s="60"/>
      <c r="AA142" s="7"/>
      <c r="AB142" s="139"/>
      <c r="AC142" s="139"/>
      <c r="AD142" s="139"/>
      <c r="AE142" s="139"/>
      <c r="AF142" s="200">
        <v>11</v>
      </c>
    </row>
    <row r="143" spans="1:32" s="200" customFormat="1" ht="11.45" customHeight="1">
      <c r="A143" s="569"/>
      <c r="B143" s="65"/>
      <c r="C143" s="65"/>
      <c r="K143" s="60"/>
      <c r="L143" s="65"/>
      <c r="M143" s="65"/>
      <c r="N143" s="60"/>
      <c r="O143" s="60"/>
      <c r="P143" s="60"/>
      <c r="Q143" s="60"/>
      <c r="R143" s="65"/>
      <c r="S143" s="60"/>
      <c r="T143" s="60"/>
      <c r="U143" s="306"/>
      <c r="V143" s="60"/>
      <c r="W143" s="60"/>
      <c r="X143" s="60"/>
      <c r="Y143" s="60"/>
      <c r="Z143" s="60"/>
      <c r="AA143" s="7"/>
      <c r="AB143" s="139"/>
      <c r="AC143" s="139"/>
      <c r="AD143" s="139"/>
      <c r="AE143" s="139"/>
      <c r="AF143" s="200">
        <v>11</v>
      </c>
    </row>
    <row r="144" spans="1:32" s="200" customFormat="1" ht="11.45" customHeight="1">
      <c r="A144" s="569"/>
      <c r="B144" s="65"/>
      <c r="C144" s="65"/>
      <c r="K144" s="60"/>
      <c r="L144" s="65"/>
      <c r="M144" s="65"/>
      <c r="N144" s="60"/>
      <c r="O144" s="60"/>
      <c r="P144" s="60"/>
      <c r="Q144" s="60"/>
      <c r="R144" s="65"/>
      <c r="S144" s="60"/>
      <c r="T144" s="60"/>
      <c r="U144" s="306"/>
      <c r="V144" s="60"/>
      <c r="W144" s="60"/>
      <c r="X144" s="60"/>
      <c r="Y144" s="60"/>
      <c r="Z144" s="60"/>
      <c r="AA144" s="7"/>
      <c r="AB144" s="139"/>
      <c r="AC144" s="139"/>
      <c r="AD144" s="139"/>
      <c r="AE144" s="139"/>
      <c r="AF144" s="200">
        <v>11</v>
      </c>
    </row>
    <row r="145" spans="1:32" s="200" customFormat="1" ht="11.45" customHeight="1">
      <c r="A145" s="569"/>
      <c r="B145" s="65"/>
      <c r="C145" s="65"/>
      <c r="K145" s="60"/>
      <c r="L145" s="65"/>
      <c r="M145" s="65"/>
      <c r="N145" s="60"/>
      <c r="O145" s="60"/>
      <c r="P145" s="60"/>
      <c r="Q145" s="60"/>
      <c r="R145" s="65"/>
      <c r="S145" s="60"/>
      <c r="T145" s="60"/>
      <c r="U145" s="306"/>
      <c r="V145" s="60"/>
      <c r="W145" s="60"/>
      <c r="X145" s="60"/>
      <c r="Y145" s="60"/>
      <c r="Z145" s="60"/>
      <c r="AA145" s="7"/>
      <c r="AB145" s="139"/>
      <c r="AC145" s="139"/>
      <c r="AD145" s="139"/>
      <c r="AE145" s="139"/>
      <c r="AF145" s="200">
        <v>11</v>
      </c>
    </row>
    <row r="146" spans="1:32" s="200" customFormat="1" ht="11.45" customHeight="1">
      <c r="A146" s="569"/>
      <c r="B146" s="65"/>
      <c r="C146" s="65"/>
      <c r="K146" s="60"/>
      <c r="L146" s="65"/>
      <c r="M146" s="65"/>
      <c r="N146" s="60"/>
      <c r="O146" s="60"/>
      <c r="P146" s="60"/>
      <c r="Q146" s="60"/>
      <c r="R146" s="65"/>
      <c r="S146" s="60"/>
      <c r="T146" s="60"/>
      <c r="U146" s="306"/>
      <c r="V146" s="60"/>
      <c r="W146" s="60"/>
      <c r="X146" s="60"/>
      <c r="Y146" s="60"/>
      <c r="Z146" s="60"/>
      <c r="AA146" s="7"/>
      <c r="AB146" s="139"/>
      <c r="AC146" s="139"/>
      <c r="AD146" s="139"/>
      <c r="AE146" s="139"/>
      <c r="AF146" s="200">
        <v>11</v>
      </c>
    </row>
    <row r="147" spans="1:32" s="200" customFormat="1" ht="11.45" customHeight="1">
      <c r="A147" s="569"/>
      <c r="B147" s="65"/>
      <c r="C147" s="65"/>
      <c r="K147" s="60"/>
      <c r="L147" s="65"/>
      <c r="M147" s="65"/>
      <c r="N147" s="60"/>
      <c r="O147" s="60"/>
      <c r="P147" s="60"/>
      <c r="Q147" s="60"/>
      <c r="R147" s="65"/>
      <c r="S147" s="60"/>
      <c r="T147" s="60"/>
      <c r="U147" s="306"/>
      <c r="V147" s="60"/>
      <c r="W147" s="60"/>
      <c r="X147" s="60"/>
      <c r="Y147" s="60"/>
      <c r="Z147" s="60"/>
      <c r="AA147" s="7"/>
      <c r="AB147" s="139"/>
      <c r="AC147" s="139"/>
      <c r="AD147" s="139"/>
      <c r="AE147" s="139"/>
      <c r="AF147" s="200">
        <v>11</v>
      </c>
    </row>
    <row r="148" spans="1:32" s="200" customFormat="1" ht="11.45" customHeight="1">
      <c r="A148" s="569"/>
      <c r="B148" s="65"/>
      <c r="C148" s="65"/>
      <c r="K148" s="60"/>
      <c r="L148" s="65"/>
      <c r="M148" s="65"/>
      <c r="N148" s="60"/>
      <c r="O148" s="60"/>
      <c r="P148" s="60"/>
      <c r="Q148" s="60"/>
      <c r="R148" s="65"/>
      <c r="S148" s="60"/>
      <c r="T148" s="60"/>
      <c r="U148" s="306"/>
      <c r="V148" s="60"/>
      <c r="W148" s="60"/>
      <c r="X148" s="60"/>
      <c r="Y148" s="60"/>
      <c r="Z148" s="60"/>
      <c r="AA148" s="7"/>
      <c r="AB148" s="139"/>
      <c r="AC148" s="139"/>
      <c r="AD148" s="139"/>
      <c r="AE148" s="139"/>
      <c r="AF148" s="200">
        <v>11</v>
      </c>
    </row>
    <row r="149" spans="1:32" s="200" customFormat="1" ht="11.45" customHeight="1">
      <c r="A149" s="569"/>
      <c r="B149" s="65"/>
      <c r="C149" s="65"/>
      <c r="K149" s="60"/>
      <c r="L149" s="65"/>
      <c r="M149" s="65"/>
      <c r="N149" s="60"/>
      <c r="O149" s="60"/>
      <c r="P149" s="60"/>
      <c r="Q149" s="60"/>
      <c r="R149" s="65"/>
      <c r="S149" s="60"/>
      <c r="T149" s="60"/>
      <c r="U149" s="306"/>
      <c r="V149" s="60"/>
      <c r="W149" s="60"/>
      <c r="X149" s="60"/>
      <c r="Y149" s="60"/>
      <c r="Z149" s="60"/>
      <c r="AA149" s="7"/>
      <c r="AB149" s="139"/>
      <c r="AC149" s="139"/>
      <c r="AD149" s="139"/>
      <c r="AE149" s="139"/>
      <c r="AF149" s="200">
        <v>11</v>
      </c>
    </row>
    <row r="150" spans="1:32" s="200" customFormat="1" ht="11.45" customHeight="1">
      <c r="A150" s="569"/>
      <c r="B150" s="65"/>
      <c r="C150" s="65"/>
      <c r="K150" s="60"/>
      <c r="L150" s="65"/>
      <c r="M150" s="65"/>
      <c r="N150" s="60"/>
      <c r="O150" s="60"/>
      <c r="P150" s="60"/>
      <c r="Q150" s="60"/>
      <c r="R150" s="65"/>
      <c r="S150" s="60"/>
      <c r="T150" s="60"/>
      <c r="U150" s="306"/>
      <c r="V150" s="60"/>
      <c r="W150" s="60"/>
      <c r="X150" s="60"/>
      <c r="Y150" s="60"/>
      <c r="Z150" s="60"/>
      <c r="AA150" s="7"/>
      <c r="AB150" s="139"/>
      <c r="AC150" s="139"/>
      <c r="AD150" s="139"/>
      <c r="AE150" s="139"/>
      <c r="AF150" s="200">
        <v>11</v>
      </c>
    </row>
    <row r="151" spans="1:32" s="200" customFormat="1" ht="11.45" customHeight="1">
      <c r="A151" s="569"/>
      <c r="B151" s="65"/>
      <c r="C151" s="65"/>
      <c r="K151" s="60"/>
      <c r="L151" s="65"/>
      <c r="M151" s="65"/>
      <c r="N151" s="60"/>
      <c r="O151" s="60"/>
      <c r="P151" s="60"/>
      <c r="Q151" s="60"/>
      <c r="R151" s="65"/>
      <c r="S151" s="60"/>
      <c r="T151" s="60"/>
      <c r="U151" s="306"/>
      <c r="V151" s="60"/>
      <c r="W151" s="60"/>
      <c r="X151" s="60"/>
      <c r="Y151" s="60"/>
      <c r="Z151" s="60"/>
      <c r="AA151" s="7"/>
      <c r="AB151" s="139"/>
      <c r="AC151" s="139"/>
      <c r="AD151" s="139"/>
      <c r="AE151" s="139"/>
      <c r="AF151" s="200">
        <v>11</v>
      </c>
    </row>
    <row r="152" spans="1:32" s="200" customFormat="1" ht="11.45" customHeight="1">
      <c r="A152" s="569"/>
      <c r="B152" s="65"/>
      <c r="C152" s="65"/>
      <c r="K152" s="60"/>
      <c r="L152" s="65"/>
      <c r="M152" s="65"/>
      <c r="N152" s="60"/>
      <c r="O152" s="60"/>
      <c r="P152" s="60"/>
      <c r="Q152" s="60"/>
      <c r="R152" s="65"/>
      <c r="S152" s="60"/>
      <c r="T152" s="60"/>
      <c r="U152" s="306"/>
      <c r="V152" s="60"/>
      <c r="W152" s="60"/>
      <c r="X152" s="60"/>
      <c r="Y152" s="60"/>
      <c r="Z152" s="60"/>
      <c r="AA152" s="7"/>
      <c r="AB152" s="139"/>
      <c r="AC152" s="139"/>
      <c r="AD152" s="139"/>
      <c r="AE152" s="139"/>
      <c r="AF152" s="200">
        <v>11</v>
      </c>
    </row>
    <row r="153" spans="1:32" s="200" customFormat="1" ht="11.45" customHeight="1">
      <c r="A153" s="569"/>
      <c r="B153" s="65"/>
      <c r="C153" s="65"/>
      <c r="K153" s="60"/>
      <c r="L153" s="65"/>
      <c r="M153" s="65"/>
      <c r="N153" s="60"/>
      <c r="O153" s="60"/>
      <c r="P153" s="60"/>
      <c r="Q153" s="60"/>
      <c r="R153" s="65"/>
      <c r="S153" s="60"/>
      <c r="T153" s="60"/>
      <c r="U153" s="306"/>
      <c r="V153" s="60"/>
      <c r="W153" s="60"/>
      <c r="X153" s="60"/>
      <c r="Y153" s="60"/>
      <c r="Z153" s="60"/>
      <c r="AA153" s="7"/>
      <c r="AB153" s="139"/>
      <c r="AC153" s="139"/>
      <c r="AD153" s="139"/>
      <c r="AE153" s="139"/>
      <c r="AF153" s="200">
        <v>11</v>
      </c>
    </row>
    <row r="154" spans="1:32" s="200" customFormat="1" ht="11.45" customHeight="1">
      <c r="A154" s="569"/>
      <c r="B154" s="65"/>
      <c r="C154" s="65"/>
      <c r="K154" s="60"/>
      <c r="L154" s="65"/>
      <c r="M154" s="65"/>
      <c r="N154" s="60"/>
      <c r="O154" s="60"/>
      <c r="P154" s="60"/>
      <c r="Q154" s="60"/>
      <c r="R154" s="65"/>
      <c r="S154" s="60"/>
      <c r="T154" s="60"/>
      <c r="U154" s="306"/>
      <c r="V154" s="60"/>
      <c r="W154" s="60"/>
      <c r="X154" s="60"/>
      <c r="Y154" s="60"/>
      <c r="Z154" s="60"/>
      <c r="AA154" s="7"/>
      <c r="AB154" s="139"/>
      <c r="AC154" s="139"/>
      <c r="AD154" s="139"/>
      <c r="AE154" s="139"/>
      <c r="AF154" s="200">
        <v>11</v>
      </c>
    </row>
    <row r="155" spans="1:32" s="200" customFormat="1" ht="11.45" customHeight="1">
      <c r="A155" s="569"/>
      <c r="B155" s="65"/>
      <c r="C155" s="65"/>
      <c r="K155" s="60"/>
      <c r="L155" s="65"/>
      <c r="M155" s="65"/>
      <c r="N155" s="60"/>
      <c r="O155" s="60"/>
      <c r="P155" s="60"/>
      <c r="Q155" s="60"/>
      <c r="R155" s="65"/>
      <c r="S155" s="60"/>
      <c r="T155" s="60"/>
      <c r="U155" s="306"/>
      <c r="V155" s="60"/>
      <c r="W155" s="60"/>
      <c r="X155" s="60"/>
      <c r="Y155" s="60"/>
      <c r="Z155" s="60"/>
      <c r="AA155" s="7"/>
      <c r="AB155" s="139"/>
      <c r="AC155" s="139"/>
      <c r="AD155" s="139"/>
      <c r="AE155" s="139"/>
      <c r="AF155" s="200">
        <v>11</v>
      </c>
    </row>
    <row r="156" spans="1:32" s="200" customFormat="1" ht="11.45" customHeight="1">
      <c r="A156" s="569"/>
      <c r="B156" s="65"/>
      <c r="C156" s="65"/>
      <c r="K156" s="60"/>
      <c r="L156" s="65"/>
      <c r="M156" s="65"/>
      <c r="N156" s="60"/>
      <c r="O156" s="60"/>
      <c r="P156" s="60"/>
      <c r="Q156" s="60"/>
      <c r="R156" s="65"/>
      <c r="S156" s="60"/>
      <c r="T156" s="60"/>
      <c r="U156" s="306"/>
      <c r="V156" s="60"/>
      <c r="W156" s="60"/>
      <c r="X156" s="60"/>
      <c r="Y156" s="60"/>
      <c r="Z156" s="60"/>
      <c r="AA156" s="7"/>
      <c r="AB156" s="139"/>
      <c r="AC156" s="139"/>
      <c r="AD156" s="139"/>
      <c r="AE156" s="139"/>
      <c r="AF156" s="200">
        <v>11</v>
      </c>
    </row>
    <row r="157" spans="1:32" s="200" customFormat="1" ht="11.45" customHeight="1">
      <c r="A157" s="569"/>
      <c r="B157" s="65"/>
      <c r="C157" s="65"/>
      <c r="K157" s="60"/>
      <c r="L157" s="65"/>
      <c r="M157" s="65"/>
      <c r="N157" s="60"/>
      <c r="O157" s="60"/>
      <c r="P157" s="60"/>
      <c r="Q157" s="60"/>
      <c r="R157" s="65"/>
      <c r="S157" s="60"/>
      <c r="T157" s="60"/>
      <c r="U157" s="306"/>
      <c r="V157" s="60"/>
      <c r="W157" s="60"/>
      <c r="X157" s="60"/>
      <c r="Y157" s="60"/>
      <c r="Z157" s="60"/>
      <c r="AA157" s="7"/>
      <c r="AB157" s="139"/>
      <c r="AC157" s="139"/>
      <c r="AD157" s="139"/>
      <c r="AE157" s="139"/>
      <c r="AF157" s="200">
        <v>11</v>
      </c>
    </row>
    <row r="158" spans="1:32" s="200" customFormat="1" ht="11.45" customHeight="1">
      <c r="A158" s="569"/>
      <c r="B158" s="65"/>
      <c r="C158" s="65"/>
      <c r="K158" s="60"/>
      <c r="L158" s="65"/>
      <c r="M158" s="65"/>
      <c r="N158" s="60"/>
      <c r="O158" s="60"/>
      <c r="P158" s="60"/>
      <c r="Q158" s="60"/>
      <c r="R158" s="65"/>
      <c r="S158" s="60"/>
      <c r="T158" s="60"/>
      <c r="U158" s="306"/>
      <c r="V158" s="60"/>
      <c r="W158" s="60"/>
      <c r="X158" s="60"/>
      <c r="Y158" s="60"/>
      <c r="Z158" s="60"/>
      <c r="AA158" s="7"/>
      <c r="AB158" s="139"/>
      <c r="AC158" s="139"/>
      <c r="AD158" s="139"/>
      <c r="AE158" s="139"/>
      <c r="AF158" s="200">
        <v>11</v>
      </c>
    </row>
    <row r="159" spans="1:32" s="200" customFormat="1" ht="11.45" customHeight="1">
      <c r="A159" s="569"/>
      <c r="B159" s="65"/>
      <c r="C159" s="65"/>
      <c r="K159" s="60"/>
      <c r="L159" s="65"/>
      <c r="M159" s="65"/>
      <c r="N159" s="60"/>
      <c r="O159" s="60"/>
      <c r="P159" s="60"/>
      <c r="Q159" s="60"/>
      <c r="R159" s="65"/>
      <c r="S159" s="60"/>
      <c r="T159" s="60"/>
      <c r="U159" s="306"/>
      <c r="V159" s="60"/>
      <c r="W159" s="60"/>
      <c r="X159" s="60"/>
      <c r="Y159" s="60"/>
      <c r="Z159" s="60"/>
      <c r="AA159" s="7"/>
      <c r="AB159" s="139"/>
      <c r="AC159" s="139"/>
      <c r="AD159" s="139"/>
      <c r="AE159" s="139"/>
      <c r="AF159" s="200">
        <v>11</v>
      </c>
    </row>
    <row r="160" spans="1:32" s="200" customFormat="1" ht="11.45" customHeight="1">
      <c r="A160" s="569"/>
      <c r="B160" s="65"/>
      <c r="C160" s="65"/>
      <c r="K160" s="60"/>
      <c r="L160" s="65"/>
      <c r="M160" s="65"/>
      <c r="N160" s="60"/>
      <c r="O160" s="60"/>
      <c r="P160" s="60"/>
      <c r="Q160" s="60"/>
      <c r="R160" s="65"/>
      <c r="S160" s="60"/>
      <c r="T160" s="60"/>
      <c r="U160" s="306"/>
      <c r="V160" s="60"/>
      <c r="W160" s="60"/>
      <c r="X160" s="60"/>
      <c r="Y160" s="60"/>
      <c r="Z160" s="60"/>
      <c r="AA160" s="7"/>
      <c r="AB160" s="139"/>
      <c r="AC160" s="139"/>
      <c r="AD160" s="139"/>
      <c r="AE160" s="139"/>
      <c r="AF160" s="200">
        <v>11</v>
      </c>
    </row>
    <row r="161" spans="1:32" s="200" customFormat="1" ht="11.45" customHeight="1">
      <c r="A161" s="569"/>
      <c r="B161" s="65"/>
      <c r="C161" s="65"/>
      <c r="K161" s="60"/>
      <c r="L161" s="65"/>
      <c r="M161" s="65"/>
      <c r="N161" s="60"/>
      <c r="O161" s="60"/>
      <c r="P161" s="60"/>
      <c r="Q161" s="60"/>
      <c r="R161" s="65"/>
      <c r="S161" s="60"/>
      <c r="T161" s="60"/>
      <c r="U161" s="306"/>
      <c r="V161" s="60"/>
      <c r="W161" s="60"/>
      <c r="X161" s="60"/>
      <c r="Y161" s="60"/>
      <c r="Z161" s="60"/>
      <c r="AA161" s="7"/>
      <c r="AB161" s="139"/>
      <c r="AC161" s="139"/>
      <c r="AD161" s="139"/>
      <c r="AE161" s="139"/>
      <c r="AF161" s="200">
        <v>11</v>
      </c>
    </row>
    <row r="162" spans="1:32" s="200" customFormat="1" ht="11.45" customHeight="1">
      <c r="A162" s="569"/>
      <c r="B162" s="65"/>
      <c r="C162" s="65"/>
      <c r="K162" s="60"/>
      <c r="L162" s="65"/>
      <c r="M162" s="65"/>
      <c r="N162" s="60"/>
      <c r="O162" s="60"/>
      <c r="P162" s="60"/>
      <c r="Q162" s="60"/>
      <c r="R162" s="65"/>
      <c r="S162" s="60"/>
      <c r="T162" s="60"/>
      <c r="U162" s="306"/>
      <c r="V162" s="60"/>
      <c r="W162" s="60"/>
      <c r="X162" s="60"/>
      <c r="Y162" s="60"/>
      <c r="Z162" s="60"/>
      <c r="AA162" s="7"/>
      <c r="AB162" s="139"/>
      <c r="AC162" s="139"/>
      <c r="AD162" s="139"/>
      <c r="AE162" s="139"/>
      <c r="AF162" s="200">
        <v>11</v>
      </c>
    </row>
    <row r="163" spans="1:32" s="200" customFormat="1" ht="11.45" customHeight="1">
      <c r="A163" s="569"/>
      <c r="B163" s="65"/>
      <c r="C163" s="65"/>
      <c r="K163" s="60"/>
      <c r="L163" s="65"/>
      <c r="M163" s="65"/>
      <c r="N163" s="60"/>
      <c r="O163" s="60"/>
      <c r="P163" s="60"/>
      <c r="Q163" s="60"/>
      <c r="R163" s="65"/>
      <c r="S163" s="60"/>
      <c r="T163" s="60"/>
      <c r="U163" s="306"/>
      <c r="V163" s="60"/>
      <c r="W163" s="60"/>
      <c r="X163" s="60"/>
      <c r="Y163" s="60"/>
      <c r="Z163" s="60"/>
      <c r="AA163" s="7"/>
      <c r="AB163" s="139"/>
      <c r="AC163" s="139"/>
      <c r="AD163" s="139"/>
      <c r="AE163" s="139"/>
      <c r="AF163" s="200">
        <v>11</v>
      </c>
    </row>
    <row r="164" spans="1:32" s="200" customFormat="1" ht="11.45" customHeight="1">
      <c r="A164" s="569"/>
      <c r="B164" s="65"/>
      <c r="C164" s="65"/>
      <c r="K164" s="60"/>
      <c r="L164" s="65"/>
      <c r="M164" s="65"/>
      <c r="N164" s="60"/>
      <c r="O164" s="60"/>
      <c r="P164" s="60"/>
      <c r="Q164" s="60"/>
      <c r="R164" s="65"/>
      <c r="S164" s="60"/>
      <c r="T164" s="60"/>
      <c r="U164" s="306"/>
      <c r="V164" s="60"/>
      <c r="W164" s="60"/>
      <c r="X164" s="60"/>
      <c r="Y164" s="60"/>
      <c r="Z164" s="60"/>
      <c r="AA164" s="7"/>
      <c r="AB164" s="139"/>
      <c r="AC164" s="139"/>
      <c r="AD164" s="139"/>
      <c r="AE164" s="139"/>
      <c r="AF164" s="200">
        <v>11</v>
      </c>
    </row>
    <row r="165" spans="1:32" s="200" customFormat="1" ht="11.45" customHeight="1">
      <c r="A165" s="569"/>
      <c r="B165" s="65"/>
      <c r="C165" s="65"/>
      <c r="K165" s="60"/>
      <c r="L165" s="65"/>
      <c r="M165" s="65"/>
      <c r="N165" s="60"/>
      <c r="O165" s="60"/>
      <c r="P165" s="60"/>
      <c r="Q165" s="60"/>
      <c r="R165" s="65"/>
      <c r="S165" s="60"/>
      <c r="T165" s="60"/>
      <c r="U165" s="306"/>
      <c r="V165" s="60"/>
      <c r="W165" s="60"/>
      <c r="X165" s="60"/>
      <c r="Y165" s="60"/>
      <c r="Z165" s="60"/>
      <c r="AA165" s="7"/>
      <c r="AB165" s="139"/>
      <c r="AC165" s="139"/>
      <c r="AD165" s="139"/>
      <c r="AE165" s="139"/>
      <c r="AF165" s="200">
        <v>11</v>
      </c>
    </row>
    <row r="166" spans="1:32" s="200" customFormat="1" ht="11.45" customHeight="1">
      <c r="A166" s="569"/>
      <c r="B166" s="65"/>
      <c r="C166" s="65"/>
      <c r="K166" s="60"/>
      <c r="L166" s="65"/>
      <c r="M166" s="65"/>
      <c r="N166" s="60"/>
      <c r="O166" s="60"/>
      <c r="P166" s="60"/>
      <c r="Q166" s="60"/>
      <c r="R166" s="65"/>
      <c r="S166" s="60"/>
      <c r="T166" s="60"/>
      <c r="U166" s="306"/>
      <c r="V166" s="60"/>
      <c r="W166" s="60"/>
      <c r="X166" s="60"/>
      <c r="Y166" s="60"/>
      <c r="Z166" s="60"/>
      <c r="AA166" s="7"/>
      <c r="AB166" s="139"/>
      <c r="AC166" s="139"/>
      <c r="AD166" s="139"/>
      <c r="AE166" s="139"/>
      <c r="AF166" s="200">
        <v>11</v>
      </c>
    </row>
    <row r="167" spans="1:32" s="200" customFormat="1" ht="11.45" customHeight="1">
      <c r="A167" s="569"/>
      <c r="B167" s="65"/>
      <c r="C167" s="65"/>
      <c r="K167" s="60"/>
      <c r="L167" s="65"/>
      <c r="M167" s="65"/>
      <c r="N167" s="60"/>
      <c r="O167" s="60"/>
      <c r="P167" s="60"/>
      <c r="Q167" s="60"/>
      <c r="R167" s="65"/>
      <c r="S167" s="60"/>
      <c r="T167" s="60"/>
      <c r="U167" s="306"/>
      <c r="V167" s="60"/>
      <c r="W167" s="60"/>
      <c r="X167" s="60"/>
      <c r="Y167" s="60"/>
      <c r="Z167" s="60"/>
      <c r="AA167" s="7"/>
      <c r="AB167" s="139"/>
      <c r="AC167" s="139"/>
      <c r="AD167" s="139"/>
      <c r="AE167" s="139"/>
      <c r="AF167" s="200">
        <v>11</v>
      </c>
    </row>
    <row r="168" spans="1:32" s="200" customFormat="1" ht="11.45" customHeight="1">
      <c r="A168" s="569"/>
      <c r="B168" s="65"/>
      <c r="C168" s="65"/>
      <c r="K168" s="60"/>
      <c r="L168" s="65"/>
      <c r="M168" s="65"/>
      <c r="N168" s="60"/>
      <c r="O168" s="60"/>
      <c r="P168" s="60"/>
      <c r="Q168" s="60"/>
      <c r="R168" s="65"/>
      <c r="S168" s="60"/>
      <c r="T168" s="60"/>
      <c r="U168" s="306"/>
      <c r="V168" s="60"/>
      <c r="W168" s="60"/>
      <c r="X168" s="60"/>
      <c r="Y168" s="60"/>
      <c r="Z168" s="60"/>
      <c r="AA168" s="7"/>
      <c r="AB168" s="139"/>
      <c r="AC168" s="139"/>
      <c r="AD168" s="139"/>
      <c r="AE168" s="139"/>
      <c r="AF168" s="200">
        <v>11</v>
      </c>
    </row>
    <row r="169" spans="1:32" s="200" customFormat="1" ht="11.45" customHeight="1">
      <c r="A169" s="569"/>
      <c r="B169" s="65"/>
      <c r="C169" s="65"/>
      <c r="K169" s="60"/>
      <c r="L169" s="65"/>
      <c r="M169" s="65"/>
      <c r="N169" s="60"/>
      <c r="O169" s="60"/>
      <c r="P169" s="60"/>
      <c r="Q169" s="60"/>
      <c r="R169" s="65"/>
      <c r="S169" s="60"/>
      <c r="T169" s="60"/>
      <c r="U169" s="306"/>
      <c r="V169" s="60"/>
      <c r="W169" s="60"/>
      <c r="X169" s="60"/>
      <c r="Y169" s="60"/>
      <c r="Z169" s="60"/>
      <c r="AA169" s="7"/>
      <c r="AB169" s="139"/>
      <c r="AC169" s="139"/>
      <c r="AD169" s="139"/>
      <c r="AE169" s="139"/>
      <c r="AF169" s="200">
        <v>11</v>
      </c>
    </row>
    <row r="170" spans="1:32" s="200" customFormat="1" ht="11.45" customHeight="1">
      <c r="A170" s="569"/>
      <c r="B170" s="65"/>
      <c r="C170" s="65"/>
      <c r="K170" s="60"/>
      <c r="L170" s="65"/>
      <c r="M170" s="65"/>
      <c r="N170" s="60"/>
      <c r="O170" s="60"/>
      <c r="P170" s="60"/>
      <c r="Q170" s="60"/>
      <c r="R170" s="65"/>
      <c r="S170" s="60"/>
      <c r="T170" s="60"/>
      <c r="U170" s="306"/>
      <c r="V170" s="60"/>
      <c r="W170" s="60"/>
      <c r="X170" s="60"/>
      <c r="Y170" s="60"/>
      <c r="Z170" s="60"/>
      <c r="AA170" s="7"/>
      <c r="AB170" s="139"/>
      <c r="AC170" s="139"/>
      <c r="AD170" s="139"/>
      <c r="AE170" s="139"/>
      <c r="AF170" s="200">
        <v>11</v>
      </c>
    </row>
    <row r="171" spans="1:32" s="200" customFormat="1" ht="11.45" customHeight="1">
      <c r="A171" s="569"/>
      <c r="B171" s="65"/>
      <c r="C171" s="65"/>
      <c r="K171" s="60"/>
      <c r="L171" s="65"/>
      <c r="M171" s="65"/>
      <c r="N171" s="60"/>
      <c r="O171" s="60"/>
      <c r="P171" s="60"/>
      <c r="Q171" s="60"/>
      <c r="R171" s="65"/>
      <c r="S171" s="60"/>
      <c r="T171" s="60"/>
      <c r="U171" s="306"/>
      <c r="V171" s="60"/>
      <c r="W171" s="60"/>
      <c r="X171" s="60"/>
      <c r="Y171" s="60"/>
      <c r="Z171" s="60"/>
      <c r="AA171" s="7"/>
      <c r="AB171" s="139"/>
      <c r="AC171" s="139"/>
      <c r="AD171" s="139"/>
      <c r="AE171" s="139"/>
      <c r="AF171" s="200">
        <v>11</v>
      </c>
    </row>
    <row r="172" spans="1:32" s="200" customFormat="1" ht="11.45" customHeight="1">
      <c r="A172" s="569"/>
      <c r="B172" s="65"/>
      <c r="C172" s="65"/>
      <c r="K172" s="60"/>
      <c r="L172" s="65"/>
      <c r="M172" s="65"/>
      <c r="N172" s="60"/>
      <c r="O172" s="60"/>
      <c r="P172" s="60"/>
      <c r="Q172" s="60"/>
      <c r="R172" s="65"/>
      <c r="S172" s="60"/>
      <c r="T172" s="60"/>
      <c r="U172" s="306"/>
      <c r="V172" s="60"/>
      <c r="W172" s="60"/>
      <c r="X172" s="60"/>
      <c r="Y172" s="60"/>
      <c r="Z172" s="60"/>
      <c r="AA172" s="7"/>
      <c r="AB172" s="139"/>
      <c r="AC172" s="139"/>
      <c r="AD172" s="139"/>
      <c r="AE172" s="139"/>
      <c r="AF172" s="200">
        <v>11</v>
      </c>
    </row>
    <row r="173" spans="1:32" s="200" customFormat="1" ht="11.45" customHeight="1">
      <c r="A173" s="569"/>
      <c r="B173" s="65"/>
      <c r="C173" s="65"/>
      <c r="K173" s="60"/>
      <c r="L173" s="65"/>
      <c r="M173" s="65"/>
      <c r="N173" s="60"/>
      <c r="O173" s="60"/>
      <c r="P173" s="60"/>
      <c r="Q173" s="60"/>
      <c r="R173" s="65"/>
      <c r="S173" s="60"/>
      <c r="T173" s="60"/>
      <c r="U173" s="306"/>
      <c r="V173" s="60"/>
      <c r="W173" s="60"/>
      <c r="X173" s="60"/>
      <c r="Y173" s="60"/>
      <c r="Z173" s="60"/>
      <c r="AA173" s="7"/>
      <c r="AB173" s="139"/>
      <c r="AC173" s="139"/>
      <c r="AD173" s="139"/>
      <c r="AE173" s="139"/>
      <c r="AF173" s="200">
        <v>11</v>
      </c>
    </row>
    <row r="174" spans="1:32" s="200" customFormat="1" ht="11.45" customHeight="1">
      <c r="A174" s="569"/>
      <c r="B174" s="65"/>
      <c r="C174" s="65"/>
      <c r="K174" s="60"/>
      <c r="L174" s="65"/>
      <c r="M174" s="65"/>
      <c r="N174" s="60"/>
      <c r="O174" s="60"/>
      <c r="P174" s="60"/>
      <c r="Q174" s="60"/>
      <c r="R174" s="65"/>
      <c r="S174" s="60"/>
      <c r="T174" s="60"/>
      <c r="U174" s="306"/>
      <c r="V174" s="60"/>
      <c r="W174" s="60"/>
      <c r="X174" s="60"/>
      <c r="Y174" s="60"/>
      <c r="Z174" s="60"/>
      <c r="AA174" s="7"/>
      <c r="AB174" s="139"/>
      <c r="AC174" s="139"/>
      <c r="AD174" s="139"/>
      <c r="AE174" s="139"/>
      <c r="AF174" s="200">
        <v>11</v>
      </c>
    </row>
    <row r="175" spans="1:32" s="200" customFormat="1" ht="11.45" customHeight="1">
      <c r="A175" s="569"/>
      <c r="B175" s="65"/>
      <c r="C175" s="65"/>
      <c r="K175" s="60"/>
      <c r="L175" s="65"/>
      <c r="M175" s="65"/>
      <c r="N175" s="60"/>
      <c r="O175" s="60"/>
      <c r="P175" s="60"/>
      <c r="Q175" s="60"/>
      <c r="R175" s="65"/>
      <c r="S175" s="60"/>
      <c r="T175" s="60"/>
      <c r="U175" s="306"/>
      <c r="V175" s="60"/>
      <c r="W175" s="60"/>
      <c r="X175" s="60"/>
      <c r="Y175" s="60"/>
      <c r="Z175" s="60"/>
      <c r="AA175" s="7"/>
      <c r="AB175" s="139"/>
      <c r="AC175" s="139"/>
      <c r="AD175" s="139"/>
      <c r="AE175" s="139"/>
      <c r="AF175" s="200">
        <v>11</v>
      </c>
    </row>
    <row r="176" spans="1:32" s="200" customFormat="1" ht="11.45" customHeight="1">
      <c r="A176" s="569"/>
      <c r="B176" s="65"/>
      <c r="C176" s="65"/>
      <c r="K176" s="60"/>
      <c r="L176" s="65"/>
      <c r="M176" s="65"/>
      <c r="N176" s="60"/>
      <c r="O176" s="60"/>
      <c r="P176" s="60"/>
      <c r="Q176" s="60"/>
      <c r="R176" s="65"/>
      <c r="S176" s="60"/>
      <c r="T176" s="60"/>
      <c r="U176" s="306"/>
      <c r="V176" s="60"/>
      <c r="W176" s="60"/>
      <c r="X176" s="60"/>
      <c r="Y176" s="60"/>
      <c r="Z176" s="60"/>
      <c r="AA176" s="7"/>
      <c r="AB176" s="139"/>
      <c r="AC176" s="139"/>
      <c r="AD176" s="139"/>
      <c r="AE176" s="139"/>
      <c r="AF176" s="200">
        <v>11</v>
      </c>
    </row>
    <row r="177" spans="1:32" s="200" customFormat="1" ht="11.45" customHeight="1">
      <c r="A177" s="569"/>
      <c r="B177" s="65"/>
      <c r="C177" s="65"/>
      <c r="K177" s="60"/>
      <c r="L177" s="65"/>
      <c r="M177" s="65"/>
      <c r="N177" s="60"/>
      <c r="O177" s="60"/>
      <c r="P177" s="60"/>
      <c r="Q177" s="60"/>
      <c r="R177" s="65"/>
      <c r="S177" s="60"/>
      <c r="T177" s="60"/>
      <c r="U177" s="306"/>
      <c r="V177" s="60"/>
      <c r="W177" s="60"/>
      <c r="X177" s="60"/>
      <c r="Y177" s="60"/>
      <c r="Z177" s="60"/>
      <c r="AA177" s="7"/>
      <c r="AB177" s="139"/>
      <c r="AC177" s="139"/>
      <c r="AD177" s="139"/>
      <c r="AE177" s="139"/>
      <c r="AF177" s="200">
        <v>11</v>
      </c>
    </row>
    <row r="178" spans="1:32" s="200" customFormat="1" ht="11.45" customHeight="1">
      <c r="A178" s="569"/>
      <c r="B178" s="65"/>
      <c r="C178" s="65"/>
      <c r="K178" s="60"/>
      <c r="L178" s="65"/>
      <c r="M178" s="65"/>
      <c r="N178" s="60"/>
      <c r="O178" s="60"/>
      <c r="P178" s="60"/>
      <c r="Q178" s="60"/>
      <c r="R178" s="65"/>
      <c r="S178" s="60"/>
      <c r="T178" s="60"/>
      <c r="U178" s="306"/>
      <c r="V178" s="60"/>
      <c r="W178" s="60"/>
      <c r="X178" s="60"/>
      <c r="Y178" s="60"/>
      <c r="Z178" s="60"/>
      <c r="AA178" s="7"/>
      <c r="AB178" s="139"/>
      <c r="AC178" s="139"/>
      <c r="AD178" s="139"/>
      <c r="AE178" s="139"/>
      <c r="AF178" s="200">
        <v>11</v>
      </c>
    </row>
    <row r="179" spans="1:32" s="200" customFormat="1" ht="11.45" customHeight="1">
      <c r="A179" s="569"/>
      <c r="B179" s="65"/>
      <c r="C179" s="65"/>
      <c r="K179" s="60"/>
      <c r="L179" s="65"/>
      <c r="M179" s="65"/>
      <c r="N179" s="60"/>
      <c r="O179" s="60"/>
      <c r="P179" s="60"/>
      <c r="Q179" s="60"/>
      <c r="R179" s="65"/>
      <c r="S179" s="60"/>
      <c r="T179" s="60"/>
      <c r="U179" s="306"/>
      <c r="V179" s="60"/>
      <c r="W179" s="60"/>
      <c r="X179" s="60"/>
      <c r="Y179" s="60"/>
      <c r="Z179" s="60"/>
      <c r="AA179" s="7"/>
      <c r="AB179" s="139"/>
      <c r="AC179" s="139"/>
      <c r="AD179" s="139"/>
      <c r="AE179" s="139"/>
      <c r="AF179" s="200">
        <v>11</v>
      </c>
    </row>
    <row r="180" spans="1:32" s="200" customFormat="1" ht="11.45" customHeight="1">
      <c r="A180" s="569"/>
      <c r="B180" s="65"/>
      <c r="C180" s="65"/>
      <c r="K180" s="60"/>
      <c r="L180" s="65"/>
      <c r="M180" s="65"/>
      <c r="N180" s="60"/>
      <c r="O180" s="60"/>
      <c r="P180" s="60"/>
      <c r="Q180" s="60"/>
      <c r="R180" s="65"/>
      <c r="S180" s="60"/>
      <c r="T180" s="60"/>
      <c r="U180" s="306"/>
      <c r="V180" s="60"/>
      <c r="W180" s="60"/>
      <c r="X180" s="60"/>
      <c r="Y180" s="60"/>
      <c r="Z180" s="60"/>
      <c r="AA180" s="7"/>
      <c r="AB180" s="139"/>
      <c r="AC180" s="139"/>
      <c r="AD180" s="139"/>
      <c r="AE180" s="139"/>
      <c r="AF180" s="200">
        <v>11</v>
      </c>
    </row>
    <row r="181" spans="1:32" s="200" customFormat="1" ht="11.45" customHeight="1">
      <c r="A181" s="569"/>
      <c r="B181" s="65"/>
      <c r="C181" s="65"/>
      <c r="K181" s="60"/>
      <c r="L181" s="65"/>
      <c r="M181" s="65"/>
      <c r="N181" s="60"/>
      <c r="O181" s="60"/>
      <c r="P181" s="60"/>
      <c r="Q181" s="60"/>
      <c r="R181" s="65"/>
      <c r="S181" s="60"/>
      <c r="T181" s="60"/>
      <c r="U181" s="306"/>
      <c r="V181" s="60"/>
      <c r="W181" s="60"/>
      <c r="X181" s="60"/>
      <c r="Y181" s="60"/>
      <c r="Z181" s="60"/>
      <c r="AA181" s="7"/>
      <c r="AB181" s="139"/>
      <c r="AC181" s="139"/>
      <c r="AD181" s="139"/>
      <c r="AE181" s="139"/>
      <c r="AF181" s="200">
        <v>11</v>
      </c>
    </row>
    <row r="182" spans="1:32" s="200" customFormat="1" ht="11.45" customHeight="1">
      <c r="A182" s="569"/>
      <c r="B182" s="65"/>
      <c r="C182" s="65"/>
      <c r="K182" s="60"/>
      <c r="L182" s="65"/>
      <c r="M182" s="65"/>
      <c r="N182" s="60"/>
      <c r="O182" s="60"/>
      <c r="P182" s="60"/>
      <c r="Q182" s="60"/>
      <c r="R182" s="65"/>
      <c r="S182" s="60"/>
      <c r="T182" s="60"/>
      <c r="U182" s="306"/>
      <c r="V182" s="60"/>
      <c r="W182" s="60"/>
      <c r="X182" s="60"/>
      <c r="Y182" s="60"/>
      <c r="Z182" s="60"/>
      <c r="AA182" s="7"/>
      <c r="AB182" s="139"/>
      <c r="AC182" s="139"/>
      <c r="AD182" s="139"/>
      <c r="AE182" s="139"/>
      <c r="AF182" s="200">
        <v>11</v>
      </c>
    </row>
    <row r="183" spans="1:32" s="200" customFormat="1" ht="11.45" customHeight="1">
      <c r="A183" s="569"/>
      <c r="B183" s="65"/>
      <c r="C183" s="65"/>
      <c r="K183" s="60"/>
      <c r="L183" s="65"/>
      <c r="M183" s="65"/>
      <c r="N183" s="60"/>
      <c r="O183" s="60"/>
      <c r="P183" s="60"/>
      <c r="Q183" s="60"/>
      <c r="R183" s="65"/>
      <c r="S183" s="60"/>
      <c r="T183" s="60"/>
      <c r="U183" s="306"/>
      <c r="V183" s="60"/>
      <c r="W183" s="60"/>
      <c r="X183" s="60"/>
      <c r="Y183" s="60"/>
      <c r="Z183" s="60"/>
      <c r="AA183" s="7"/>
      <c r="AB183" s="139"/>
      <c r="AC183" s="139"/>
      <c r="AD183" s="139"/>
      <c r="AE183" s="139"/>
      <c r="AF183" s="200">
        <v>11</v>
      </c>
    </row>
    <row r="184" spans="1:32" s="200" customFormat="1" ht="11.45" customHeight="1">
      <c r="A184" s="569"/>
      <c r="B184" s="65"/>
      <c r="C184" s="65"/>
      <c r="K184" s="60"/>
      <c r="L184" s="65"/>
      <c r="M184" s="65"/>
      <c r="N184" s="60"/>
      <c r="O184" s="60"/>
      <c r="P184" s="60"/>
      <c r="Q184" s="60"/>
      <c r="R184" s="65"/>
      <c r="S184" s="60"/>
      <c r="T184" s="60"/>
      <c r="U184" s="306"/>
      <c r="V184" s="60"/>
      <c r="W184" s="60"/>
      <c r="X184" s="60"/>
      <c r="Y184" s="60"/>
      <c r="Z184" s="60"/>
      <c r="AA184" s="7"/>
      <c r="AB184" s="139"/>
      <c r="AC184" s="139"/>
      <c r="AD184" s="139"/>
      <c r="AE184" s="139"/>
      <c r="AF184" s="200">
        <v>11</v>
      </c>
    </row>
    <row r="185" spans="1:32" s="200" customFormat="1" ht="11.45" customHeight="1">
      <c r="A185" s="569"/>
      <c r="B185" s="65"/>
      <c r="C185" s="65"/>
      <c r="K185" s="60"/>
      <c r="L185" s="65"/>
      <c r="M185" s="65"/>
      <c r="N185" s="60"/>
      <c r="O185" s="60"/>
      <c r="P185" s="60"/>
      <c r="Q185" s="60"/>
      <c r="R185" s="65"/>
      <c r="S185" s="60"/>
      <c r="T185" s="60"/>
      <c r="U185" s="306"/>
      <c r="V185" s="60"/>
      <c r="W185" s="60"/>
      <c r="X185" s="60"/>
      <c r="Y185" s="60"/>
      <c r="Z185" s="60"/>
      <c r="AA185" s="7"/>
      <c r="AB185" s="139"/>
      <c r="AC185" s="139"/>
      <c r="AD185" s="139"/>
      <c r="AE185" s="139"/>
      <c r="AF185" s="200">
        <v>11</v>
      </c>
    </row>
    <row r="186" spans="1:32" s="200" customFormat="1" ht="11.45" customHeight="1">
      <c r="A186" s="569"/>
      <c r="B186" s="65"/>
      <c r="C186" s="65"/>
      <c r="K186" s="60"/>
      <c r="L186" s="65"/>
      <c r="M186" s="65"/>
      <c r="N186" s="60"/>
      <c r="O186" s="60"/>
      <c r="P186" s="60"/>
      <c r="Q186" s="60"/>
      <c r="R186" s="65"/>
      <c r="S186" s="60"/>
      <c r="T186" s="60"/>
      <c r="U186" s="306"/>
      <c r="V186" s="60"/>
      <c r="W186" s="60"/>
      <c r="X186" s="60"/>
      <c r="Y186" s="60"/>
      <c r="Z186" s="60"/>
      <c r="AA186" s="7"/>
      <c r="AB186" s="139"/>
      <c r="AC186" s="139"/>
      <c r="AD186" s="139"/>
      <c r="AE186" s="139"/>
      <c r="AF186" s="200">
        <v>11</v>
      </c>
    </row>
    <row r="187" spans="1:32" s="200" customFormat="1" ht="11.45" customHeight="1">
      <c r="A187" s="569"/>
      <c r="B187" s="65"/>
      <c r="C187" s="65"/>
      <c r="K187" s="60"/>
      <c r="L187" s="65"/>
      <c r="M187" s="65"/>
      <c r="N187" s="60"/>
      <c r="O187" s="60"/>
      <c r="P187" s="60"/>
      <c r="Q187" s="60"/>
      <c r="R187" s="65"/>
      <c r="S187" s="60"/>
      <c r="T187" s="60"/>
      <c r="U187" s="306"/>
      <c r="V187" s="60"/>
      <c r="W187" s="60"/>
      <c r="X187" s="60"/>
      <c r="Y187" s="60"/>
      <c r="Z187" s="60"/>
      <c r="AA187" s="7"/>
      <c r="AB187" s="139"/>
      <c r="AC187" s="139"/>
      <c r="AD187" s="139"/>
      <c r="AE187" s="139"/>
      <c r="AF187" s="200">
        <v>11</v>
      </c>
    </row>
    <row r="188" spans="1:32" s="200" customFormat="1" ht="11.45" customHeight="1">
      <c r="A188" s="569"/>
      <c r="B188" s="65"/>
      <c r="C188" s="65"/>
      <c r="K188" s="60"/>
      <c r="L188" s="65"/>
      <c r="M188" s="65"/>
      <c r="N188" s="60"/>
      <c r="O188" s="60"/>
      <c r="P188" s="60"/>
      <c r="Q188" s="60"/>
      <c r="R188" s="65"/>
      <c r="S188" s="60"/>
      <c r="T188" s="60"/>
      <c r="U188" s="306"/>
      <c r="V188" s="60"/>
      <c r="W188" s="60"/>
      <c r="X188" s="60"/>
      <c r="Y188" s="60"/>
      <c r="Z188" s="60"/>
      <c r="AA188" s="7"/>
      <c r="AB188" s="139"/>
      <c r="AC188" s="139"/>
      <c r="AD188" s="139"/>
      <c r="AE188" s="139"/>
      <c r="AF188" s="200">
        <v>11</v>
      </c>
    </row>
    <row r="189" spans="1:32" s="200" customFormat="1" ht="11.45" customHeight="1">
      <c r="A189" s="569"/>
      <c r="B189" s="65"/>
      <c r="C189" s="65"/>
      <c r="K189" s="60"/>
      <c r="L189" s="65"/>
      <c r="M189" s="65"/>
      <c r="N189" s="60"/>
      <c r="O189" s="60"/>
      <c r="P189" s="60"/>
      <c r="Q189" s="60"/>
      <c r="R189" s="65"/>
      <c r="S189" s="60"/>
      <c r="T189" s="60"/>
      <c r="U189" s="306"/>
      <c r="V189" s="60"/>
      <c r="W189" s="60"/>
      <c r="X189" s="60"/>
      <c r="Y189" s="60"/>
      <c r="Z189" s="60"/>
      <c r="AA189" s="7"/>
      <c r="AB189" s="139"/>
      <c r="AC189" s="139"/>
      <c r="AD189" s="139"/>
      <c r="AE189" s="139"/>
      <c r="AF189" s="200">
        <v>11</v>
      </c>
    </row>
    <row r="190" spans="1:32" s="200" customFormat="1" ht="11.45" customHeight="1">
      <c r="A190" s="569"/>
      <c r="B190" s="65"/>
      <c r="C190" s="65"/>
      <c r="K190" s="60"/>
      <c r="L190" s="65"/>
      <c r="M190" s="65"/>
      <c r="N190" s="60"/>
      <c r="O190" s="60"/>
      <c r="P190" s="60"/>
      <c r="Q190" s="60"/>
      <c r="R190" s="65"/>
      <c r="S190" s="60"/>
      <c r="T190" s="60"/>
      <c r="U190" s="306"/>
      <c r="V190" s="60"/>
      <c r="W190" s="60"/>
      <c r="X190" s="60"/>
      <c r="Y190" s="60"/>
      <c r="Z190" s="60"/>
      <c r="AA190" s="7"/>
      <c r="AB190" s="139"/>
      <c r="AC190" s="139"/>
      <c r="AD190" s="139"/>
      <c r="AE190" s="139"/>
      <c r="AF190" s="200">
        <v>11</v>
      </c>
    </row>
    <row r="191" spans="1:32" s="200" customFormat="1" ht="11.45" customHeight="1">
      <c r="A191" s="569"/>
      <c r="B191" s="65"/>
      <c r="C191" s="65"/>
      <c r="K191" s="60"/>
      <c r="L191" s="65"/>
      <c r="M191" s="65"/>
      <c r="N191" s="60"/>
      <c r="O191" s="60"/>
      <c r="P191" s="60"/>
      <c r="Q191" s="60"/>
      <c r="R191" s="65"/>
      <c r="S191" s="60"/>
      <c r="T191" s="60"/>
      <c r="U191" s="306"/>
      <c r="V191" s="60"/>
      <c r="W191" s="60"/>
      <c r="X191" s="60"/>
      <c r="Y191" s="60"/>
      <c r="Z191" s="60"/>
      <c r="AA191" s="7"/>
      <c r="AB191" s="139"/>
      <c r="AC191" s="139"/>
      <c r="AD191" s="139"/>
      <c r="AE191" s="139"/>
      <c r="AF191" s="200">
        <v>11</v>
      </c>
    </row>
    <row r="192" spans="1:32" s="200" customFormat="1" ht="11.45" customHeight="1">
      <c r="A192" s="569"/>
      <c r="B192" s="65"/>
      <c r="C192" s="65"/>
      <c r="K192" s="60"/>
      <c r="L192" s="65"/>
      <c r="M192" s="65"/>
      <c r="N192" s="60"/>
      <c r="O192" s="60"/>
      <c r="P192" s="60"/>
      <c r="Q192" s="60"/>
      <c r="R192" s="65"/>
      <c r="S192" s="60"/>
      <c r="T192" s="60"/>
      <c r="U192" s="306"/>
      <c r="V192" s="60"/>
      <c r="W192" s="60"/>
      <c r="X192" s="60"/>
      <c r="Y192" s="60"/>
      <c r="Z192" s="60"/>
      <c r="AA192" s="7"/>
      <c r="AB192" s="139"/>
      <c r="AC192" s="139"/>
      <c r="AD192" s="139"/>
      <c r="AE192" s="139"/>
      <c r="AF192" s="200">
        <v>11</v>
      </c>
    </row>
    <row r="193" spans="1:32" s="200" customFormat="1" ht="11.45" customHeight="1">
      <c r="A193" s="569"/>
      <c r="B193" s="65"/>
      <c r="C193" s="65"/>
      <c r="K193" s="60"/>
      <c r="L193" s="65"/>
      <c r="M193" s="65"/>
      <c r="N193" s="60"/>
      <c r="O193" s="60"/>
      <c r="P193" s="60"/>
      <c r="Q193" s="60"/>
      <c r="R193" s="65"/>
      <c r="S193" s="60"/>
      <c r="T193" s="60"/>
      <c r="U193" s="306"/>
      <c r="V193" s="60"/>
      <c r="W193" s="60"/>
      <c r="X193" s="60"/>
      <c r="Y193" s="60"/>
      <c r="Z193" s="60"/>
      <c r="AA193" s="7"/>
      <c r="AB193" s="139"/>
      <c r="AC193" s="139"/>
      <c r="AD193" s="139"/>
      <c r="AE193" s="139"/>
      <c r="AF193" s="200">
        <v>11</v>
      </c>
    </row>
    <row r="194" spans="1:32" s="200" customFormat="1" ht="11.45" customHeight="1">
      <c r="A194" s="569"/>
      <c r="B194" s="65"/>
      <c r="C194" s="65"/>
      <c r="K194" s="60"/>
      <c r="L194" s="65"/>
      <c r="M194" s="65"/>
      <c r="N194" s="60"/>
      <c r="O194" s="60"/>
      <c r="P194" s="60"/>
      <c r="Q194" s="60"/>
      <c r="R194" s="65"/>
      <c r="S194" s="60"/>
      <c r="T194" s="60"/>
      <c r="U194" s="306"/>
      <c r="V194" s="60"/>
      <c r="W194" s="60"/>
      <c r="X194" s="60"/>
      <c r="Y194" s="60"/>
      <c r="Z194" s="60"/>
      <c r="AA194" s="7"/>
      <c r="AB194" s="139"/>
      <c r="AC194" s="139"/>
      <c r="AD194" s="139"/>
      <c r="AE194" s="139"/>
      <c r="AF194" s="200">
        <v>11</v>
      </c>
    </row>
    <row r="195" spans="1:32" s="200" customFormat="1" ht="11.45" customHeight="1">
      <c r="A195" s="569"/>
      <c r="B195" s="65"/>
      <c r="C195" s="65"/>
      <c r="K195" s="60"/>
      <c r="L195" s="65"/>
      <c r="M195" s="65"/>
      <c r="N195" s="60"/>
      <c r="O195" s="60"/>
      <c r="P195" s="60"/>
      <c r="Q195" s="60"/>
      <c r="R195" s="65"/>
      <c r="S195" s="60"/>
      <c r="T195" s="60"/>
      <c r="U195" s="306"/>
      <c r="V195" s="60"/>
      <c r="W195" s="60"/>
      <c r="X195" s="60"/>
      <c r="Y195" s="60"/>
      <c r="Z195" s="60"/>
      <c r="AA195" s="7"/>
      <c r="AB195" s="139"/>
      <c r="AC195" s="139"/>
      <c r="AD195" s="139"/>
      <c r="AE195" s="139"/>
      <c r="AF195" s="200">
        <v>11</v>
      </c>
    </row>
    <row r="196" spans="1:32" ht="11.45" customHeight="1">
      <c r="AF196" s="10">
        <v>11</v>
      </c>
    </row>
    <row r="197" spans="1:32" ht="11.45" customHeight="1">
      <c r="AF197" s="10">
        <v>11</v>
      </c>
    </row>
    <row r="198" spans="1:32" ht="11.45" customHeight="1">
      <c r="AF198" s="10">
        <v>11</v>
      </c>
    </row>
    <row r="199" spans="1:32" ht="11.45" customHeight="1">
      <c r="A199" s="572"/>
      <c r="B199" s="10"/>
      <c r="K199" s="10"/>
      <c r="N199" s="10"/>
      <c r="O199" s="10"/>
      <c r="P199" s="10"/>
      <c r="Q199" s="10"/>
      <c r="S199" s="10"/>
      <c r="T199" s="10"/>
      <c r="U199" s="10"/>
      <c r="V199" s="10"/>
      <c r="W199" s="10"/>
      <c r="X199" s="10"/>
      <c r="Y199" s="10"/>
      <c r="Z199" s="10"/>
      <c r="AA199" s="10"/>
      <c r="AB199" s="10"/>
      <c r="AC199" s="10"/>
      <c r="AD199" s="10"/>
      <c r="AE199" s="10"/>
      <c r="AF199" s="10">
        <v>11</v>
      </c>
    </row>
    <row r="200" spans="1:32" ht="11.45" customHeight="1">
      <c r="A200" s="572"/>
      <c r="B200" s="10"/>
      <c r="K200" s="10"/>
      <c r="N200" s="10"/>
      <c r="O200" s="10"/>
      <c r="P200" s="10"/>
      <c r="Q200" s="10"/>
      <c r="S200" s="10"/>
      <c r="T200" s="10"/>
      <c r="U200" s="10"/>
      <c r="V200" s="10"/>
      <c r="W200" s="10"/>
      <c r="X200" s="10"/>
      <c r="Y200" s="10"/>
      <c r="Z200" s="10"/>
      <c r="AA200" s="10"/>
      <c r="AB200" s="10"/>
      <c r="AC200" s="10"/>
      <c r="AD200" s="10"/>
      <c r="AE200" s="10"/>
      <c r="AF200" s="10">
        <v>11</v>
      </c>
    </row>
    <row r="201" spans="1:32" ht="11.45" customHeight="1">
      <c r="A201" s="572"/>
      <c r="B201" s="10"/>
      <c r="K201" s="10"/>
      <c r="N201" s="10"/>
      <c r="O201" s="10"/>
      <c r="P201" s="10"/>
      <c r="Q201" s="10"/>
      <c r="S201" s="10"/>
      <c r="T201" s="10"/>
      <c r="U201" s="10"/>
      <c r="V201" s="10"/>
      <c r="W201" s="10"/>
      <c r="X201" s="10"/>
      <c r="Y201" s="10"/>
      <c r="Z201" s="10"/>
      <c r="AA201" s="10"/>
      <c r="AB201" s="10"/>
      <c r="AC201" s="10"/>
      <c r="AD201" s="10"/>
      <c r="AE201" s="10"/>
      <c r="AF201" s="10">
        <v>11</v>
      </c>
    </row>
    <row r="202" spans="1:32" ht="11.45" customHeight="1">
      <c r="A202" s="572"/>
      <c r="B202" s="10"/>
      <c r="K202" s="10"/>
      <c r="N202" s="10"/>
      <c r="O202" s="10"/>
      <c r="P202" s="10"/>
      <c r="Q202" s="10"/>
      <c r="S202" s="10"/>
      <c r="T202" s="10"/>
      <c r="U202" s="10"/>
      <c r="V202" s="10"/>
      <c r="W202" s="10"/>
      <c r="X202" s="10"/>
      <c r="Y202" s="10"/>
      <c r="Z202" s="10"/>
      <c r="AA202" s="10"/>
      <c r="AB202" s="10"/>
      <c r="AC202" s="10"/>
      <c r="AD202" s="10"/>
      <c r="AE202" s="10"/>
      <c r="AF202" s="10">
        <v>11</v>
      </c>
    </row>
    <row r="203" spans="1:32" ht="11.45" customHeight="1">
      <c r="A203" s="572"/>
      <c r="B203" s="10"/>
      <c r="K203" s="10"/>
      <c r="N203" s="10"/>
      <c r="O203" s="10"/>
      <c r="P203" s="10"/>
      <c r="Q203" s="10"/>
      <c r="S203" s="10"/>
      <c r="T203" s="10"/>
      <c r="U203" s="10"/>
      <c r="V203" s="10"/>
      <c r="W203" s="10"/>
      <c r="X203" s="10"/>
      <c r="Y203" s="10"/>
      <c r="Z203" s="10"/>
      <c r="AA203" s="10"/>
      <c r="AB203" s="10"/>
      <c r="AC203" s="10"/>
      <c r="AD203" s="10"/>
      <c r="AE203" s="10"/>
      <c r="AF203" s="10">
        <v>11</v>
      </c>
    </row>
    <row r="204" spans="1:32" ht="11.45" customHeight="1">
      <c r="A204" s="572"/>
      <c r="B204" s="10"/>
      <c r="K204" s="10"/>
      <c r="N204" s="10"/>
      <c r="O204" s="10"/>
      <c r="P204" s="10"/>
      <c r="Q204" s="10"/>
      <c r="S204" s="10"/>
      <c r="T204" s="10"/>
      <c r="U204" s="10"/>
      <c r="V204" s="10"/>
      <c r="W204" s="10"/>
      <c r="X204" s="10"/>
      <c r="Y204" s="10"/>
      <c r="Z204" s="10"/>
      <c r="AA204" s="10"/>
      <c r="AB204" s="10"/>
      <c r="AC204" s="10"/>
      <c r="AD204" s="10"/>
      <c r="AE204" s="10"/>
      <c r="AF204" s="10">
        <v>11</v>
      </c>
    </row>
    <row r="205" spans="1:32" ht="11.45" customHeight="1">
      <c r="A205" s="572"/>
      <c r="B205" s="10"/>
      <c r="K205" s="10"/>
      <c r="N205" s="10"/>
      <c r="O205" s="10"/>
      <c r="P205" s="10"/>
      <c r="Q205" s="10"/>
      <c r="S205" s="10"/>
      <c r="T205" s="10"/>
      <c r="U205" s="10"/>
      <c r="V205" s="10"/>
      <c r="W205" s="10"/>
      <c r="X205" s="10"/>
      <c r="Y205" s="10"/>
      <c r="Z205" s="10"/>
      <c r="AA205" s="10"/>
      <c r="AB205" s="10"/>
      <c r="AC205" s="10"/>
      <c r="AD205" s="10"/>
      <c r="AE205" s="10"/>
      <c r="AF205" s="10">
        <v>11</v>
      </c>
    </row>
    <row r="206" spans="1:32" ht="11.45" customHeight="1">
      <c r="A206" s="572"/>
      <c r="B206" s="10"/>
      <c r="K206" s="10"/>
      <c r="N206" s="10"/>
      <c r="O206" s="10"/>
      <c r="P206" s="10"/>
      <c r="Q206" s="10"/>
      <c r="S206" s="10"/>
      <c r="T206" s="10"/>
      <c r="U206" s="10"/>
      <c r="V206" s="10"/>
      <c r="W206" s="10"/>
      <c r="X206" s="10"/>
      <c r="Y206" s="10"/>
      <c r="Z206" s="10"/>
      <c r="AA206" s="10"/>
      <c r="AB206" s="10"/>
      <c r="AC206" s="10"/>
      <c r="AD206" s="10"/>
      <c r="AE206" s="10"/>
      <c r="AF206" s="10">
        <v>11</v>
      </c>
    </row>
    <row r="207" spans="1:32" ht="11.45" customHeight="1">
      <c r="A207" s="572"/>
      <c r="B207" s="10"/>
      <c r="K207" s="10"/>
      <c r="N207" s="10"/>
      <c r="O207" s="10"/>
      <c r="P207" s="10"/>
      <c r="Q207" s="10"/>
      <c r="S207" s="10"/>
      <c r="T207" s="10"/>
      <c r="U207" s="10"/>
      <c r="V207" s="10"/>
      <c r="W207" s="10"/>
      <c r="X207" s="10"/>
      <c r="Y207" s="10"/>
      <c r="Z207" s="10"/>
      <c r="AA207" s="10"/>
      <c r="AB207" s="10"/>
      <c r="AC207" s="10"/>
      <c r="AD207" s="10"/>
      <c r="AE207" s="10"/>
      <c r="AF207" s="10">
        <v>11</v>
      </c>
    </row>
    <row r="208" spans="1:32" ht="11.45" customHeight="1">
      <c r="A208" s="572"/>
      <c r="B208" s="10"/>
      <c r="K208" s="10"/>
      <c r="N208" s="10"/>
      <c r="O208" s="10"/>
      <c r="P208" s="10"/>
      <c r="Q208" s="10"/>
      <c r="S208" s="10"/>
      <c r="T208" s="10"/>
      <c r="U208" s="10"/>
      <c r="V208" s="10"/>
      <c r="W208" s="10"/>
      <c r="X208" s="10"/>
      <c r="Y208" s="10"/>
      <c r="Z208" s="10"/>
      <c r="AA208" s="10"/>
      <c r="AB208" s="10"/>
      <c r="AC208" s="10"/>
      <c r="AD208" s="10"/>
      <c r="AE208" s="10"/>
      <c r="AF208" s="10">
        <v>11</v>
      </c>
    </row>
    <row r="209" spans="1:32" ht="11.45" customHeight="1">
      <c r="A209" s="572"/>
      <c r="B209" s="10"/>
      <c r="K209" s="10"/>
      <c r="N209" s="10"/>
      <c r="O209" s="10"/>
      <c r="P209" s="10"/>
      <c r="Q209" s="10"/>
      <c r="S209" s="10"/>
      <c r="T209" s="10"/>
      <c r="U209" s="10"/>
      <c r="V209" s="10"/>
      <c r="W209" s="10"/>
      <c r="X209" s="10"/>
      <c r="Y209" s="10"/>
      <c r="Z209" s="10"/>
      <c r="AA209" s="10"/>
      <c r="AB209" s="10"/>
      <c r="AC209" s="10"/>
      <c r="AD209" s="10"/>
      <c r="AE209" s="10"/>
      <c r="AF209" s="10">
        <v>11</v>
      </c>
    </row>
    <row r="210" spans="1:32" ht="11.25" hidden="1" customHeight="1">
      <c r="A210" s="569" t="s">
        <v>80</v>
      </c>
      <c r="B210" s="60">
        <v>0</v>
      </c>
      <c r="C210" s="65">
        <v>0</v>
      </c>
      <c r="D210" s="10">
        <v>3</v>
      </c>
      <c r="E210" s="10">
        <v>7</v>
      </c>
      <c r="F210" s="10">
        <v>54</v>
      </c>
      <c r="G210" s="10">
        <v>10</v>
      </c>
      <c r="H210" s="10">
        <v>0</v>
      </c>
      <c r="I210" s="10">
        <v>40</v>
      </c>
      <c r="J210" s="10">
        <v>102</v>
      </c>
      <c r="K210" s="60">
        <v>9</v>
      </c>
      <c r="L210" s="65">
        <v>5</v>
      </c>
      <c r="M210" s="65">
        <v>3</v>
      </c>
      <c r="N210" s="60">
        <v>3</v>
      </c>
      <c r="O210" s="60">
        <v>3</v>
      </c>
      <c r="P210" s="60">
        <v>3</v>
      </c>
      <c r="Q210" s="60">
        <v>3</v>
      </c>
      <c r="R210" s="65">
        <v>10</v>
      </c>
      <c r="S210" s="60">
        <v>34</v>
      </c>
      <c r="T210" s="60">
        <v>9</v>
      </c>
      <c r="U210" s="306">
        <v>8</v>
      </c>
      <c r="V210" s="60">
        <v>8</v>
      </c>
      <c r="W210" s="60">
        <v>8</v>
      </c>
      <c r="X210" s="60">
        <v>8</v>
      </c>
      <c r="Y210" s="60">
        <v>8</v>
      </c>
      <c r="Z210" s="60">
        <v>8</v>
      </c>
      <c r="AA210" s="7">
        <v>8</v>
      </c>
      <c r="AB210" s="7">
        <v>8</v>
      </c>
      <c r="AC210" s="7">
        <v>8</v>
      </c>
      <c r="AD210" s="7">
        <v>8</v>
      </c>
      <c r="AE210" s="7">
        <v>8</v>
      </c>
      <c r="AF210" s="1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300" hidden="1" customWidth="1"/>
    <col min="2" max="2" width="3.5703125" style="65" hidden="1" customWidth="1"/>
    <col min="3" max="3" width="3" style="10" customWidth="1"/>
    <col min="4" max="4" width="7" style="10" customWidth="1"/>
    <col min="5" max="5" width="69" style="10" customWidth="1"/>
    <col min="6" max="6" width="10" style="10" customWidth="1"/>
    <col min="7" max="8" width="44" style="10" hidden="1" customWidth="1"/>
    <col min="9" max="9" width="44" style="10" customWidth="1"/>
    <col min="10" max="10" width="43" style="10" customWidth="1"/>
    <col min="11" max="11" width="73" style="10" customWidth="1"/>
    <col min="12" max="12" width="3" style="10" customWidth="1"/>
    <col min="13" max="23" width="10" style="10" customWidth="1"/>
    <col min="24" max="24" width="10.5703125" style="10" hidden="1"/>
  </cols>
  <sheetData>
    <row r="1" spans="1:24" s="60" customFormat="1" ht="22.5" hidden="1" customHeight="1">
      <c r="A1" s="300"/>
      <c r="B1" s="65"/>
      <c r="G1" s="60">
        <v>4</v>
      </c>
      <c r="I1" s="60">
        <v>4</v>
      </c>
      <c r="K1" s="60">
        <v>5</v>
      </c>
      <c r="X1" s="60" t="s">
        <v>14</v>
      </c>
    </row>
    <row r="2" spans="1:24" ht="3" customHeight="1">
      <c r="X2" s="10">
        <v>3</v>
      </c>
    </row>
    <row r="3" spans="1:24" ht="78.75" customHeight="1">
      <c r="D3" s="113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40"/>
      <c r="F3" s="1141"/>
      <c r="X3" s="10">
        <v>75</v>
      </c>
    </row>
    <row r="4" spans="1:24" s="10" customFormat="1" ht="21" customHeight="1">
      <c r="A4" s="300"/>
      <c r="B4" s="65"/>
      <c r="D4" s="1258" t="str">
        <f>IF(org=0,"Не определено",org)</f>
        <v>Общество с ограниченной ответственностью "Березовский рудник"</v>
      </c>
      <c r="E4" s="1259"/>
      <c r="F4" s="1260"/>
      <c r="X4" s="10">
        <v>20</v>
      </c>
    </row>
    <row r="5" spans="1:24" ht="11.45" customHeight="1">
      <c r="H5" s="432"/>
      <c r="J5" s="432"/>
      <c r="X5" s="10">
        <v>11</v>
      </c>
    </row>
    <row r="6" spans="1:24" ht="1.1499999999999999" customHeight="1">
      <c r="E6" s="56"/>
      <c r="F6" s="353"/>
      <c r="G6" s="597"/>
      <c r="H6" s="597"/>
      <c r="I6" s="597" t="s">
        <v>115</v>
      </c>
      <c r="J6" s="597"/>
      <c r="X6" s="10">
        <v>1</v>
      </c>
    </row>
    <row r="7" spans="1:24" ht="11.45" customHeight="1">
      <c r="D7" s="406"/>
      <c r="E7" s="1370" t="s">
        <v>103</v>
      </c>
      <c r="F7" s="1371"/>
      <c r="G7" s="1390" t="str">
        <f>IF(G6="","",INDEX(DIFFERENTIATION_UNMERGE_VD,MATCH(G6,DIFFERENTIATION_ID_DIFF,0)))</f>
        <v/>
      </c>
      <c r="H7" s="1391"/>
      <c r="I7" s="1390">
        <f>IF(I6="","",INDEX(DIFFERENTIATION_UNMERGE_VD,MATCH(I6,DIFFERENTIATION_ID_DIFF,0)))</f>
        <v>0</v>
      </c>
      <c r="J7" s="1391"/>
      <c r="K7" s="1216"/>
      <c r="X7" s="10">
        <v>11</v>
      </c>
    </row>
    <row r="8" spans="1:24" ht="11.45" customHeight="1">
      <c r="D8" s="406"/>
      <c r="E8" s="1370" t="s">
        <v>563</v>
      </c>
      <c r="F8" s="1371"/>
      <c r="G8" s="1390" t="str">
        <f>IF(G6="","",INDEX(DIFFERENTIATION_UNMERGE_AREA,MATCH(G6,DIFFERENTIATION_ID_DIFF,0)))</f>
        <v/>
      </c>
      <c r="H8" s="1391"/>
      <c r="I8" s="1390" t="str">
        <f>IF(I6="","",INDEX(DIFFERENTIATION_UNMERGE_AREA,MATCH(I6,DIFFERENTIATION_ID_DIFF,0)))</f>
        <v/>
      </c>
      <c r="J8" s="1391"/>
      <c r="K8" s="1221"/>
      <c r="X8" s="10">
        <v>11</v>
      </c>
    </row>
    <row r="9" spans="1:24" ht="11.45" customHeight="1">
      <c r="D9" s="406"/>
      <c r="E9" s="1370" t="s">
        <v>564</v>
      </c>
      <c r="F9" s="1371"/>
      <c r="G9" s="1390" t="str">
        <f>IF(G6="","",INDEX(DIFFERENTIATION_UNMERGE_SYSTEM,MATCH(G6,DIFFERENTIATION_ID_DIFF,0)))</f>
        <v/>
      </c>
      <c r="H9" s="1391"/>
      <c r="I9" s="1390" t="str">
        <f>IF(I6="","",INDEX(DIFFERENTIATION_UNMERGE_SYSTEM,MATCH(I6,DIFFERENTIATION_ID_DIFF,0)))</f>
        <v>без дифференциации</v>
      </c>
      <c r="J9" s="1391"/>
      <c r="K9" s="1221"/>
      <c r="X9" s="10">
        <v>11</v>
      </c>
    </row>
    <row r="10" spans="1:24" s="10" customFormat="1" ht="11.45" customHeight="1">
      <c r="A10" s="300"/>
      <c r="B10" s="65"/>
      <c r="D10" s="1128" t="s">
        <v>300</v>
      </c>
      <c r="E10" s="1133"/>
      <c r="F10" s="1133"/>
      <c r="G10" s="1133"/>
      <c r="H10" s="1133"/>
      <c r="I10" s="1133"/>
      <c r="J10" s="1127"/>
      <c r="K10" s="1221"/>
      <c r="X10" s="10">
        <v>11</v>
      </c>
    </row>
    <row r="11" spans="1:24" s="10" customFormat="1" ht="24" customHeight="1">
      <c r="A11" s="1282"/>
      <c r="B11" s="1282"/>
      <c r="C11" s="3"/>
      <c r="D11" s="40" t="s">
        <v>86</v>
      </c>
      <c r="E11" s="40" t="s">
        <v>805</v>
      </c>
      <c r="F11" s="40" t="s">
        <v>565</v>
      </c>
      <c r="G11" s="40" t="s">
        <v>303</v>
      </c>
      <c r="H11" s="40" t="s">
        <v>390</v>
      </c>
      <c r="I11" s="40" t="s">
        <v>303</v>
      </c>
      <c r="J11" s="386" t="s">
        <v>390</v>
      </c>
      <c r="K11" s="1269"/>
      <c r="L11" s="370"/>
      <c r="X11" s="10">
        <v>23</v>
      </c>
    </row>
    <row r="12" spans="1:24" s="65" customFormat="1" ht="10.5" customHeight="1">
      <c r="A12" s="310"/>
      <c r="D12" s="310" t="s">
        <v>107</v>
      </c>
      <c r="E12" s="310" t="s">
        <v>108</v>
      </c>
      <c r="F12" s="310" t="s">
        <v>88</v>
      </c>
      <c r="G12" s="119" t="str">
        <f>G1&amp;".1"</f>
        <v>4.1</v>
      </c>
      <c r="H12" s="119" t="str">
        <f>G1&amp;".2"</f>
        <v>4.2</v>
      </c>
      <c r="I12" s="119" t="str">
        <f>I1&amp;".1"</f>
        <v>4.1</v>
      </c>
      <c r="J12" s="119" t="str">
        <f>I1&amp;".2"</f>
        <v>4.2</v>
      </c>
      <c r="K12" s="119"/>
      <c r="X12" s="65">
        <v>10</v>
      </c>
    </row>
    <row r="13" spans="1:24" ht="22.5" hidden="1" customHeight="1">
      <c r="A13" s="1392" t="s">
        <v>806</v>
      </c>
      <c r="D13" s="42" t="s">
        <v>107</v>
      </c>
      <c r="E13" s="150" t="s">
        <v>807</v>
      </c>
      <c r="F13" s="371" t="s">
        <v>808</v>
      </c>
      <c r="G13" s="318"/>
      <c r="H13" s="372"/>
      <c r="I13" s="318"/>
      <c r="J13" s="372"/>
      <c r="K13" s="64" t="s">
        <v>809</v>
      </c>
      <c r="L13" s="414"/>
      <c r="X13" s="10">
        <v>0</v>
      </c>
    </row>
    <row r="14" spans="1:24" ht="22.5" hidden="1" customHeight="1">
      <c r="A14" s="1392"/>
      <c r="D14" s="42" t="s">
        <v>108</v>
      </c>
      <c r="E14" s="150" t="s">
        <v>810</v>
      </c>
      <c r="F14" s="371" t="s">
        <v>811</v>
      </c>
      <c r="G14" s="318"/>
      <c r="H14" s="372"/>
      <c r="I14" s="318"/>
      <c r="J14" s="372"/>
      <c r="K14" s="64" t="s">
        <v>812</v>
      </c>
      <c r="L14" s="414"/>
      <c r="X14" s="10">
        <v>0</v>
      </c>
    </row>
    <row r="15" spans="1:24" s="10" customFormat="1" ht="78.75" hidden="1" customHeight="1">
      <c r="A15" s="1392"/>
      <c r="B15" s="65"/>
      <c r="D15" s="42" t="s">
        <v>88</v>
      </c>
      <c r="E15" s="150" t="s">
        <v>813</v>
      </c>
      <c r="F15" s="40" t="s">
        <v>306</v>
      </c>
      <c r="G15" s="40" t="s">
        <v>306</v>
      </c>
      <c r="H15" s="36"/>
      <c r="I15" s="40" t="s">
        <v>306</v>
      </c>
      <c r="J15" s="36"/>
      <c r="K15" s="64" t="s">
        <v>814</v>
      </c>
      <c r="L15" s="414"/>
      <c r="X15" s="10">
        <v>0</v>
      </c>
    </row>
    <row r="16" spans="1:24" s="10" customFormat="1" ht="22.5" hidden="1" customHeight="1">
      <c r="A16" s="1392"/>
      <c r="B16" s="65"/>
      <c r="D16" s="42" t="s">
        <v>324</v>
      </c>
      <c r="E16" s="320" t="s">
        <v>815</v>
      </c>
      <c r="F16" s="40" t="s">
        <v>816</v>
      </c>
      <c r="G16" s="465"/>
      <c r="H16" s="36"/>
      <c r="I16" s="465"/>
      <c r="J16" s="36"/>
      <c r="K16" s="64"/>
      <c r="L16" s="414"/>
      <c r="X16" s="10">
        <v>0</v>
      </c>
    </row>
    <row r="17" spans="1:24" s="10" customFormat="1" ht="22.5" hidden="1" customHeight="1">
      <c r="A17" s="1392"/>
      <c r="B17" s="65"/>
      <c r="D17" s="42" t="s">
        <v>332</v>
      </c>
      <c r="E17" s="320" t="s">
        <v>817</v>
      </c>
      <c r="F17" s="40" t="s">
        <v>818</v>
      </c>
      <c r="G17" s="465"/>
      <c r="H17" s="36"/>
      <c r="I17" s="465"/>
      <c r="J17" s="36"/>
      <c r="K17" s="64"/>
      <c r="L17" s="414"/>
      <c r="X17" s="10">
        <v>0</v>
      </c>
    </row>
    <row r="18" spans="1:24" s="10" customFormat="1" ht="33.75" hidden="1" customHeight="1">
      <c r="A18" s="1392"/>
      <c r="B18" s="65"/>
      <c r="D18" s="42" t="s">
        <v>334</v>
      </c>
      <c r="E18" s="320" t="s">
        <v>819</v>
      </c>
      <c r="F18" s="40" t="s">
        <v>570</v>
      </c>
      <c r="G18" s="383"/>
      <c r="H18" s="36"/>
      <c r="I18" s="383"/>
      <c r="J18" s="36"/>
      <c r="K18" s="64"/>
      <c r="L18" s="414"/>
      <c r="X18" s="10">
        <v>0</v>
      </c>
    </row>
    <row r="19" spans="1:24" ht="101.25" hidden="1" customHeight="1">
      <c r="A19" s="1392"/>
      <c r="D19" s="42" t="s">
        <v>89</v>
      </c>
      <c r="E19" s="150" t="s">
        <v>820</v>
      </c>
      <c r="F19" s="371" t="s">
        <v>545</v>
      </c>
      <c r="G19" s="214"/>
      <c r="H19" s="372"/>
      <c r="I19" s="214"/>
      <c r="J19" s="372"/>
      <c r="K19" s="64" t="s">
        <v>821</v>
      </c>
      <c r="L19" s="414"/>
      <c r="X19" s="10">
        <v>0</v>
      </c>
    </row>
    <row r="20" spans="1:24" s="10" customFormat="1" ht="18.75" hidden="1" customHeight="1">
      <c r="A20" s="1392"/>
      <c r="C20" s="74"/>
      <c r="D20" s="42" t="s">
        <v>752</v>
      </c>
      <c r="E20" s="320" t="s">
        <v>822</v>
      </c>
      <c r="F20" s="40" t="s">
        <v>306</v>
      </c>
      <c r="G20" s="40" t="s">
        <v>306</v>
      </c>
      <c r="H20" s="337" t="s">
        <v>306</v>
      </c>
      <c r="I20" s="40" t="s">
        <v>306</v>
      </c>
      <c r="J20" s="337" t="s">
        <v>306</v>
      </c>
      <c r="K20" s="386"/>
      <c r="L20" s="414"/>
      <c r="W20" s="299"/>
      <c r="X20" s="10">
        <v>0</v>
      </c>
    </row>
    <row r="21" spans="1:24" s="10" customFormat="1" ht="33.75" hidden="1" customHeight="1">
      <c r="A21" s="1392"/>
      <c r="C21" s="74"/>
      <c r="D21" s="42" t="s">
        <v>755</v>
      </c>
      <c r="E21" s="335" t="s">
        <v>823</v>
      </c>
      <c r="F21" s="40" t="s">
        <v>824</v>
      </c>
      <c r="G21" s="383"/>
      <c r="H21" s="36"/>
      <c r="I21" s="383"/>
      <c r="J21" s="36"/>
      <c r="K21" s="386"/>
      <c r="L21" s="414"/>
      <c r="W21" s="299"/>
      <c r="X21" s="10">
        <v>0</v>
      </c>
    </row>
    <row r="22" spans="1:24" s="10" customFormat="1" ht="33.75" hidden="1" customHeight="1">
      <c r="A22" s="1392"/>
      <c r="C22" s="74"/>
      <c r="D22" s="42" t="s">
        <v>758</v>
      </c>
      <c r="E22" s="335" t="s">
        <v>825</v>
      </c>
      <c r="F22" s="40" t="s">
        <v>826</v>
      </c>
      <c r="G22" s="383"/>
      <c r="H22" s="36"/>
      <c r="I22" s="383"/>
      <c r="J22" s="36"/>
      <c r="K22" s="386"/>
      <c r="L22" s="414"/>
      <c r="W22" s="299"/>
      <c r="X22" s="10">
        <v>0</v>
      </c>
    </row>
    <row r="23" spans="1:24" s="10" customFormat="1" ht="22.5" hidden="1" customHeight="1">
      <c r="A23" s="1392"/>
      <c r="C23" s="74"/>
      <c r="D23" s="42" t="s">
        <v>794</v>
      </c>
      <c r="E23" s="320" t="s">
        <v>827</v>
      </c>
      <c r="F23" s="40" t="s">
        <v>306</v>
      </c>
      <c r="G23" s="40" t="s">
        <v>306</v>
      </c>
      <c r="H23" s="337" t="s">
        <v>306</v>
      </c>
      <c r="I23" s="40" t="s">
        <v>306</v>
      </c>
      <c r="J23" s="337" t="s">
        <v>306</v>
      </c>
      <c r="K23" s="386"/>
      <c r="L23" s="414"/>
      <c r="W23" s="299"/>
      <c r="X23" s="10">
        <v>0</v>
      </c>
    </row>
    <row r="24" spans="1:24" s="10" customFormat="1" ht="22.5" hidden="1" customHeight="1">
      <c r="A24" s="1392"/>
      <c r="C24" s="74"/>
      <c r="D24" s="42" t="s">
        <v>828</v>
      </c>
      <c r="E24" s="335" t="s">
        <v>829</v>
      </c>
      <c r="F24" s="40" t="s">
        <v>830</v>
      </c>
      <c r="G24" s="383"/>
      <c r="H24" s="388"/>
      <c r="I24" s="383"/>
      <c r="J24" s="388"/>
      <c r="K24" s="386"/>
      <c r="L24" s="414"/>
      <c r="W24" s="299"/>
      <c r="X24" s="10">
        <v>0</v>
      </c>
    </row>
    <row r="25" spans="1:24" s="10" customFormat="1" ht="22.5" hidden="1" customHeight="1">
      <c r="A25" s="1392"/>
      <c r="C25" s="74"/>
      <c r="D25" s="42" t="s">
        <v>831</v>
      </c>
      <c r="E25" s="335" t="s">
        <v>832</v>
      </c>
      <c r="F25" s="40" t="s">
        <v>306</v>
      </c>
      <c r="G25" s="40" t="s">
        <v>306</v>
      </c>
      <c r="H25" s="337" t="s">
        <v>306</v>
      </c>
      <c r="I25" s="40" t="s">
        <v>306</v>
      </c>
      <c r="J25" s="337" t="s">
        <v>306</v>
      </c>
      <c r="K25" s="386"/>
      <c r="L25" s="414"/>
      <c r="W25" s="299"/>
      <c r="X25" s="10">
        <v>0</v>
      </c>
    </row>
    <row r="26" spans="1:24" s="10" customFormat="1" ht="18.75" hidden="1" customHeight="1">
      <c r="A26" s="1392"/>
      <c r="C26" s="74"/>
      <c r="D26" s="42" t="s">
        <v>833</v>
      </c>
      <c r="E26" s="315" t="s">
        <v>834</v>
      </c>
      <c r="F26" s="40" t="s">
        <v>835</v>
      </c>
      <c r="G26" s="383"/>
      <c r="H26" s="388"/>
      <c r="I26" s="383"/>
      <c r="J26" s="388"/>
      <c r="K26" s="386"/>
      <c r="L26" s="414"/>
      <c r="W26" s="299"/>
      <c r="X26" s="10">
        <v>0</v>
      </c>
    </row>
    <row r="27" spans="1:24" s="10" customFormat="1" ht="18.75" hidden="1" customHeight="1">
      <c r="A27" s="1392"/>
      <c r="C27" s="74"/>
      <c r="D27" s="42" t="s">
        <v>836</v>
      </c>
      <c r="E27" s="315" t="s">
        <v>837</v>
      </c>
      <c r="F27" s="40" t="s">
        <v>838</v>
      </c>
      <c r="G27" s="383"/>
      <c r="H27" s="388"/>
      <c r="I27" s="383"/>
      <c r="J27" s="388"/>
      <c r="K27" s="386"/>
      <c r="L27" s="414"/>
      <c r="W27" s="299"/>
      <c r="X27" s="10">
        <v>0</v>
      </c>
    </row>
    <row r="28" spans="1:24" s="10" customFormat="1" ht="18.75" hidden="1" customHeight="1">
      <c r="A28" s="1392"/>
      <c r="C28" s="74"/>
      <c r="D28" s="42" t="s">
        <v>839</v>
      </c>
      <c r="E28" s="335" t="s">
        <v>840</v>
      </c>
      <c r="F28" s="40" t="s">
        <v>306</v>
      </c>
      <c r="G28" s="40" t="s">
        <v>306</v>
      </c>
      <c r="H28" s="337" t="s">
        <v>306</v>
      </c>
      <c r="I28" s="40" t="s">
        <v>306</v>
      </c>
      <c r="J28" s="337" t="s">
        <v>306</v>
      </c>
      <c r="K28" s="386"/>
      <c r="L28" s="414"/>
      <c r="W28" s="299"/>
      <c r="X28" s="10">
        <v>0</v>
      </c>
    </row>
    <row r="29" spans="1:24" s="10" customFormat="1" ht="18.75" hidden="1" customHeight="1">
      <c r="A29" s="1392"/>
      <c r="C29" s="74"/>
      <c r="D29" s="42" t="s">
        <v>841</v>
      </c>
      <c r="E29" s="315" t="s">
        <v>834</v>
      </c>
      <c r="F29" s="40" t="s">
        <v>842</v>
      </c>
      <c r="G29" s="383"/>
      <c r="H29" s="388"/>
      <c r="I29" s="383"/>
      <c r="J29" s="388"/>
      <c r="K29" s="386"/>
      <c r="L29" s="414"/>
      <c r="W29" s="299"/>
      <c r="X29" s="10">
        <v>0</v>
      </c>
    </row>
    <row r="30" spans="1:24" s="10" customFormat="1" ht="18.75" hidden="1" customHeight="1">
      <c r="A30" s="1392"/>
      <c r="C30" s="74"/>
      <c r="D30" s="42" t="s">
        <v>843</v>
      </c>
      <c r="E30" s="315" t="s">
        <v>844</v>
      </c>
      <c r="F30" s="40" t="s">
        <v>845</v>
      </c>
      <c r="G30" s="383"/>
      <c r="H30" s="388"/>
      <c r="I30" s="383"/>
      <c r="J30" s="388"/>
      <c r="K30" s="386"/>
      <c r="L30" s="414"/>
      <c r="W30" s="299"/>
      <c r="X30" s="10">
        <v>0</v>
      </c>
    </row>
    <row r="31" spans="1:24" ht="126.75" hidden="1" customHeight="1">
      <c r="A31" s="1392"/>
      <c r="D31" s="42" t="s">
        <v>109</v>
      </c>
      <c r="E31" s="150" t="s">
        <v>846</v>
      </c>
      <c r="F31" s="371" t="s">
        <v>557</v>
      </c>
      <c r="G31" s="318"/>
      <c r="H31" s="372"/>
      <c r="I31" s="318"/>
      <c r="J31" s="372"/>
      <c r="K31" s="64" t="s">
        <v>847</v>
      </c>
      <c r="L31" s="414"/>
      <c r="X31" s="10">
        <v>0</v>
      </c>
    </row>
    <row r="32" spans="1:24" ht="56.25" hidden="1" customHeight="1">
      <c r="A32" s="1392"/>
      <c r="D32" s="42" t="s">
        <v>90</v>
      </c>
      <c r="E32" s="150" t="s">
        <v>848</v>
      </c>
      <c r="F32" s="42" t="s">
        <v>818</v>
      </c>
      <c r="G32" s="318"/>
      <c r="H32" s="372"/>
      <c r="I32" s="318"/>
      <c r="J32" s="372"/>
      <c r="K32" s="64" t="s">
        <v>849</v>
      </c>
      <c r="L32" s="414"/>
      <c r="X32" s="10">
        <v>0</v>
      </c>
    </row>
    <row r="33" spans="1:24" ht="11.25" hidden="1" customHeight="1">
      <c r="A33" s="1392"/>
      <c r="E33" s="373"/>
      <c r="F33" s="89"/>
      <c r="G33" s="89"/>
      <c r="H33" s="89"/>
      <c r="I33" s="89"/>
      <c r="J33" s="89"/>
      <c r="K33" s="89"/>
      <c r="X33" s="10">
        <v>0</v>
      </c>
    </row>
    <row r="34" spans="1:24" ht="12.75" hidden="1" customHeight="1">
      <c r="A34" s="1392"/>
      <c r="D34" s="3">
        <v>1</v>
      </c>
      <c r="E34" s="194" t="s">
        <v>850</v>
      </c>
      <c r="X34" s="10">
        <v>0</v>
      </c>
    </row>
    <row r="35" spans="1:24" ht="11.25" hidden="1" customHeight="1">
      <c r="A35" s="1392"/>
      <c r="D35" s="3"/>
      <c r="E35" s="194" t="s">
        <v>851</v>
      </c>
      <c r="X35" s="10">
        <v>0</v>
      </c>
    </row>
    <row r="36" spans="1:24" s="10" customFormat="1" ht="11.45" customHeight="1">
      <c r="A36" s="300"/>
      <c r="B36" s="65"/>
      <c r="D36" s="3"/>
      <c r="E36" s="194"/>
      <c r="X36" s="10">
        <v>11</v>
      </c>
    </row>
    <row r="37" spans="1:24" s="10" customFormat="1" ht="22.5" customHeight="1">
      <c r="A37" s="1392" t="s">
        <v>852</v>
      </c>
      <c r="B37" s="65"/>
      <c r="D37" s="42">
        <v>1</v>
      </c>
      <c r="E37" s="150" t="s">
        <v>853</v>
      </c>
      <c r="F37" s="371" t="s">
        <v>808</v>
      </c>
      <c r="G37" s="318"/>
      <c r="H37" s="292"/>
      <c r="I37" s="318"/>
      <c r="J37" s="292"/>
      <c r="K37" s="64" t="s">
        <v>854</v>
      </c>
      <c r="X37" s="10">
        <v>0</v>
      </c>
    </row>
    <row r="38" spans="1:24" s="10" customFormat="1" ht="22.5" customHeight="1">
      <c r="A38" s="1392"/>
      <c r="B38" s="65"/>
      <c r="D38" s="378" t="s">
        <v>108</v>
      </c>
      <c r="E38" s="605" t="s">
        <v>855</v>
      </c>
      <c r="F38" s="606" t="s">
        <v>545</v>
      </c>
      <c r="G38" s="606" t="s">
        <v>545</v>
      </c>
      <c r="H38" s="603"/>
      <c r="I38" s="606" t="s">
        <v>545</v>
      </c>
      <c r="J38" s="603"/>
      <c r="K38" s="604"/>
      <c r="X38" s="10">
        <v>0</v>
      </c>
    </row>
    <row r="39" spans="1:24" s="10" customFormat="1" ht="33.75" customHeight="1">
      <c r="A39" s="1392"/>
      <c r="B39" s="65"/>
      <c r="D39" s="374" t="s">
        <v>710</v>
      </c>
      <c r="E39" s="417" t="s">
        <v>856</v>
      </c>
      <c r="F39" s="371" t="s">
        <v>857</v>
      </c>
      <c r="G39" s="377"/>
      <c r="H39" s="598"/>
      <c r="I39" s="377"/>
      <c r="J39" s="598"/>
      <c r="K39" s="64" t="s">
        <v>858</v>
      </c>
      <c r="X39" s="10">
        <v>0</v>
      </c>
    </row>
    <row r="40" spans="1:24" s="10" customFormat="1" ht="33.75" customHeight="1">
      <c r="A40" s="1392"/>
      <c r="B40" s="65"/>
      <c r="D40" s="374" t="s">
        <v>713</v>
      </c>
      <c r="E40" s="417" t="s">
        <v>859</v>
      </c>
      <c r="F40" s="600" t="s">
        <v>860</v>
      </c>
      <c r="G40" s="426"/>
      <c r="H40" s="598"/>
      <c r="I40" s="426"/>
      <c r="J40" s="598"/>
      <c r="K40" s="64" t="s">
        <v>861</v>
      </c>
      <c r="X40" s="10">
        <v>0</v>
      </c>
    </row>
    <row r="41" spans="1:24" s="10" customFormat="1" ht="22.5" customHeight="1">
      <c r="A41" s="1392"/>
      <c r="B41" s="65"/>
      <c r="D41" s="374" t="s">
        <v>88</v>
      </c>
      <c r="E41" s="416" t="s">
        <v>862</v>
      </c>
      <c r="F41" s="371" t="s">
        <v>545</v>
      </c>
      <c r="G41" s="371" t="s">
        <v>545</v>
      </c>
      <c r="H41" s="599"/>
      <c r="I41" s="371" t="s">
        <v>545</v>
      </c>
      <c r="J41" s="599"/>
      <c r="K41" s="170"/>
      <c r="X41" s="10">
        <v>0</v>
      </c>
    </row>
    <row r="42" spans="1:24" s="10" customFormat="1" ht="45" customHeight="1">
      <c r="A42" s="1392"/>
      <c r="B42" s="65"/>
      <c r="D42" s="374" t="s">
        <v>324</v>
      </c>
      <c r="E42" s="417" t="s">
        <v>863</v>
      </c>
      <c r="F42" s="371" t="s">
        <v>557</v>
      </c>
      <c r="G42" s="318"/>
      <c r="H42" s="599"/>
      <c r="I42" s="318"/>
      <c r="J42" s="599"/>
      <c r="K42" s="170" t="s">
        <v>864</v>
      </c>
      <c r="X42" s="10">
        <v>0</v>
      </c>
    </row>
    <row r="43" spans="1:24" s="10" customFormat="1" ht="45" customHeight="1">
      <c r="A43" s="1392"/>
      <c r="B43" s="65"/>
      <c r="D43" s="374" t="s">
        <v>332</v>
      </c>
      <c r="E43" s="376" t="s">
        <v>865</v>
      </c>
      <c r="F43" s="601" t="s">
        <v>557</v>
      </c>
      <c r="G43" s="427"/>
      <c r="H43" s="598"/>
      <c r="I43" s="427"/>
      <c r="J43" s="598"/>
      <c r="K43" s="170" t="s">
        <v>866</v>
      </c>
      <c r="X43" s="10">
        <v>0</v>
      </c>
    </row>
    <row r="44" spans="1:24" s="10" customFormat="1" ht="11.25" customHeight="1">
      <c r="A44" s="1392"/>
      <c r="B44" s="65"/>
      <c r="D44" s="374" t="s">
        <v>89</v>
      </c>
      <c r="E44" s="375" t="s">
        <v>867</v>
      </c>
      <c r="F44" s="371" t="s">
        <v>857</v>
      </c>
      <c r="G44" s="377"/>
      <c r="H44" s="598"/>
      <c r="I44" s="377"/>
      <c r="J44" s="598"/>
      <c r="K44" s="64"/>
      <c r="X44" s="10">
        <v>0</v>
      </c>
    </row>
    <row r="45" spans="1:24" s="10" customFormat="1" ht="11.25" customHeight="1">
      <c r="A45" s="1392"/>
      <c r="B45" s="65"/>
      <c r="D45" s="374" t="s">
        <v>752</v>
      </c>
      <c r="E45" s="376" t="s">
        <v>868</v>
      </c>
      <c r="F45" s="371" t="s">
        <v>857</v>
      </c>
      <c r="G45" s="377"/>
      <c r="H45" s="598"/>
      <c r="I45" s="377"/>
      <c r="J45" s="598"/>
      <c r="K45" s="64"/>
      <c r="X45" s="10">
        <v>0</v>
      </c>
    </row>
    <row r="46" spans="1:24" s="10" customFormat="1" ht="11.25" customHeight="1">
      <c r="A46" s="1392"/>
      <c r="B46" s="65"/>
      <c r="D46" s="374" t="s">
        <v>794</v>
      </c>
      <c r="E46" s="376" t="s">
        <v>869</v>
      </c>
      <c r="F46" s="371" t="s">
        <v>857</v>
      </c>
      <c r="G46" s="377"/>
      <c r="H46" s="598"/>
      <c r="I46" s="377"/>
      <c r="J46" s="598"/>
      <c r="K46" s="64"/>
      <c r="X46" s="10">
        <v>0</v>
      </c>
    </row>
    <row r="47" spans="1:24" s="10" customFormat="1" ht="11.25" customHeight="1">
      <c r="A47" s="1392"/>
      <c r="B47" s="65"/>
      <c r="D47" s="374" t="s">
        <v>797</v>
      </c>
      <c r="E47" s="376" t="s">
        <v>870</v>
      </c>
      <c r="F47" s="371" t="s">
        <v>857</v>
      </c>
      <c r="G47" s="377"/>
      <c r="H47" s="598"/>
      <c r="I47" s="377"/>
      <c r="J47" s="598"/>
      <c r="K47" s="64"/>
      <c r="X47" s="10">
        <v>0</v>
      </c>
    </row>
    <row r="48" spans="1:24" s="10" customFormat="1" ht="11.25" customHeight="1">
      <c r="A48" s="1392"/>
      <c r="B48" s="65"/>
      <c r="D48" s="374" t="s">
        <v>871</v>
      </c>
      <c r="E48" s="379" t="s">
        <v>872</v>
      </c>
      <c r="F48" s="371" t="s">
        <v>857</v>
      </c>
      <c r="G48" s="377"/>
      <c r="H48" s="598"/>
      <c r="I48" s="377"/>
      <c r="J48" s="598"/>
      <c r="K48" s="64"/>
      <c r="X48" s="10">
        <v>0</v>
      </c>
    </row>
    <row r="49" spans="1:24" s="10" customFormat="1" ht="11.25" customHeight="1">
      <c r="A49" s="1392"/>
      <c r="B49" s="65"/>
      <c r="D49" s="374" t="s">
        <v>873</v>
      </c>
      <c r="E49" s="379" t="s">
        <v>874</v>
      </c>
      <c r="F49" s="371" t="s">
        <v>857</v>
      </c>
      <c r="G49" s="377"/>
      <c r="H49" s="598"/>
      <c r="I49" s="377"/>
      <c r="J49" s="598"/>
      <c r="K49" s="64"/>
      <c r="X49" s="10">
        <v>0</v>
      </c>
    </row>
    <row r="50" spans="1:24" s="10" customFormat="1" ht="11.25" customHeight="1">
      <c r="A50" s="1392"/>
      <c r="B50" s="65"/>
      <c r="D50" s="374" t="s">
        <v>875</v>
      </c>
      <c r="E50" s="376" t="s">
        <v>876</v>
      </c>
      <c r="F50" s="371" t="s">
        <v>857</v>
      </c>
      <c r="G50" s="377"/>
      <c r="H50" s="598"/>
      <c r="I50" s="377"/>
      <c r="J50" s="598"/>
      <c r="K50" s="64"/>
      <c r="X50" s="10">
        <v>0</v>
      </c>
    </row>
    <row r="51" spans="1:24" s="10" customFormat="1" ht="11.25" customHeight="1">
      <c r="A51" s="1392"/>
      <c r="B51" s="65"/>
      <c r="D51" s="374" t="s">
        <v>877</v>
      </c>
      <c r="E51" s="376" t="s">
        <v>878</v>
      </c>
      <c r="F51" s="371" t="s">
        <v>857</v>
      </c>
      <c r="G51" s="377"/>
      <c r="H51" s="598"/>
      <c r="I51" s="377"/>
      <c r="J51" s="598"/>
      <c r="K51" s="64"/>
      <c r="X51" s="10">
        <v>0</v>
      </c>
    </row>
    <row r="52" spans="1:24" s="10" customFormat="1" ht="45" customHeight="1">
      <c r="A52" s="1392"/>
      <c r="B52" s="65"/>
      <c r="D52" s="374" t="s">
        <v>109</v>
      </c>
      <c r="E52" s="375" t="s">
        <v>879</v>
      </c>
      <c r="F52" s="371" t="s">
        <v>857</v>
      </c>
      <c r="G52" s="377"/>
      <c r="H52" s="598"/>
      <c r="I52" s="377"/>
      <c r="J52" s="598"/>
      <c r="K52" s="64"/>
      <c r="X52" s="10">
        <v>0</v>
      </c>
    </row>
    <row r="53" spans="1:24" s="10" customFormat="1" ht="11.25" customHeight="1">
      <c r="A53" s="1392"/>
      <c r="B53" s="65"/>
      <c r="D53" s="374" t="s">
        <v>313</v>
      </c>
      <c r="E53" s="376" t="s">
        <v>868</v>
      </c>
      <c r="F53" s="371" t="s">
        <v>857</v>
      </c>
      <c r="G53" s="377"/>
      <c r="H53" s="598"/>
      <c r="I53" s="377"/>
      <c r="J53" s="598"/>
      <c r="K53" s="64"/>
      <c r="X53" s="10">
        <v>0</v>
      </c>
    </row>
    <row r="54" spans="1:24" s="10" customFormat="1" ht="11.25" customHeight="1">
      <c r="A54" s="1392"/>
      <c r="B54" s="65"/>
      <c r="D54" s="374" t="s">
        <v>880</v>
      </c>
      <c r="E54" s="376" t="s">
        <v>869</v>
      </c>
      <c r="F54" s="371" t="s">
        <v>857</v>
      </c>
      <c r="G54" s="377"/>
      <c r="H54" s="598"/>
      <c r="I54" s="377"/>
      <c r="J54" s="598"/>
      <c r="K54" s="64"/>
      <c r="X54" s="10">
        <v>0</v>
      </c>
    </row>
    <row r="55" spans="1:24" s="10" customFormat="1" ht="11.25" customHeight="1">
      <c r="A55" s="1392"/>
      <c r="B55" s="65"/>
      <c r="D55" s="374" t="s">
        <v>881</v>
      </c>
      <c r="E55" s="376" t="s">
        <v>870</v>
      </c>
      <c r="F55" s="371" t="s">
        <v>857</v>
      </c>
      <c r="G55" s="377"/>
      <c r="H55" s="598"/>
      <c r="I55" s="377"/>
      <c r="J55" s="598"/>
      <c r="K55" s="64"/>
      <c r="X55" s="10">
        <v>0</v>
      </c>
    </row>
    <row r="56" spans="1:24" s="10" customFormat="1" ht="11.25" customHeight="1">
      <c r="A56" s="1392"/>
      <c r="B56" s="65"/>
      <c r="D56" s="374" t="s">
        <v>882</v>
      </c>
      <c r="E56" s="379" t="s">
        <v>872</v>
      </c>
      <c r="F56" s="371" t="s">
        <v>857</v>
      </c>
      <c r="G56" s="377"/>
      <c r="H56" s="598"/>
      <c r="I56" s="377"/>
      <c r="J56" s="598"/>
      <c r="K56" s="64"/>
      <c r="X56" s="10">
        <v>0</v>
      </c>
    </row>
    <row r="57" spans="1:24" s="10" customFormat="1" ht="11.25" customHeight="1">
      <c r="A57" s="1392"/>
      <c r="B57" s="65"/>
      <c r="D57" s="374" t="s">
        <v>883</v>
      </c>
      <c r="E57" s="379" t="s">
        <v>874</v>
      </c>
      <c r="F57" s="371" t="s">
        <v>857</v>
      </c>
      <c r="G57" s="377"/>
      <c r="H57" s="598"/>
      <c r="I57" s="377"/>
      <c r="J57" s="598"/>
      <c r="K57" s="64"/>
      <c r="X57" s="10">
        <v>0</v>
      </c>
    </row>
    <row r="58" spans="1:24" s="10" customFormat="1" ht="11.25" customHeight="1">
      <c r="A58" s="1392"/>
      <c r="B58" s="65"/>
      <c r="D58" s="374" t="s">
        <v>884</v>
      </c>
      <c r="E58" s="376" t="s">
        <v>876</v>
      </c>
      <c r="F58" s="371" t="s">
        <v>857</v>
      </c>
      <c r="G58" s="377"/>
      <c r="H58" s="598"/>
      <c r="I58" s="377"/>
      <c r="J58" s="598"/>
      <c r="K58" s="64"/>
      <c r="X58" s="10">
        <v>0</v>
      </c>
    </row>
    <row r="59" spans="1:24" s="10" customFormat="1" ht="11.25" customHeight="1">
      <c r="A59" s="1392"/>
      <c r="B59" s="65"/>
      <c r="D59" s="374" t="s">
        <v>885</v>
      </c>
      <c r="E59" s="376" t="s">
        <v>878</v>
      </c>
      <c r="F59" s="371" t="s">
        <v>857</v>
      </c>
      <c r="G59" s="377"/>
      <c r="H59" s="598"/>
      <c r="I59" s="377"/>
      <c r="J59" s="598"/>
      <c r="K59" s="64"/>
      <c r="X59" s="10">
        <v>0</v>
      </c>
    </row>
    <row r="60" spans="1:24" s="10" customFormat="1" ht="33.75" customHeight="1">
      <c r="A60" s="1392"/>
      <c r="B60" s="65"/>
      <c r="D60" s="374" t="s">
        <v>90</v>
      </c>
      <c r="E60" s="375" t="s">
        <v>886</v>
      </c>
      <c r="F60" s="415" t="s">
        <v>557</v>
      </c>
      <c r="G60" s="427"/>
      <c r="H60" s="598"/>
      <c r="I60" s="427"/>
      <c r="J60" s="598"/>
      <c r="K60" s="170" t="s">
        <v>887</v>
      </c>
      <c r="X60" s="10">
        <v>0</v>
      </c>
    </row>
    <row r="61" spans="1:24" s="10" customFormat="1" ht="33.75" customHeight="1">
      <c r="A61" s="1392"/>
      <c r="B61" s="65"/>
      <c r="D61" s="374" t="s">
        <v>91</v>
      </c>
      <c r="E61" s="375" t="s">
        <v>888</v>
      </c>
      <c r="F61" s="420" t="s">
        <v>818</v>
      </c>
      <c r="G61" s="377"/>
      <c r="H61" s="598"/>
      <c r="I61" s="377"/>
      <c r="J61" s="598"/>
      <c r="K61" s="64"/>
      <c r="X61" s="10">
        <v>0</v>
      </c>
    </row>
    <row r="62" spans="1:24" s="10" customFormat="1" ht="22.5" customHeight="1">
      <c r="A62" s="1392"/>
      <c r="B62" s="65" t="s">
        <v>587</v>
      </c>
      <c r="D62" s="374" t="s">
        <v>110</v>
      </c>
      <c r="E62" s="375" t="s">
        <v>889</v>
      </c>
      <c r="F62" s="420" t="s">
        <v>306</v>
      </c>
      <c r="G62" s="114"/>
      <c r="H62" s="598"/>
      <c r="I62" s="114"/>
      <c r="J62" s="598"/>
      <c r="K62" s="64" t="s">
        <v>630</v>
      </c>
      <c r="X62" s="10">
        <v>0</v>
      </c>
    </row>
    <row r="63" spans="1:24" s="10" customFormat="1" ht="45" customHeight="1">
      <c r="A63" s="1392"/>
      <c r="B63" s="65" t="s">
        <v>587</v>
      </c>
      <c r="D63" s="374" t="s">
        <v>890</v>
      </c>
      <c r="E63" s="376" t="s">
        <v>891</v>
      </c>
      <c r="F63" s="415" t="s">
        <v>306</v>
      </c>
      <c r="G63" s="114"/>
      <c r="H63" s="598"/>
      <c r="I63" s="114"/>
      <c r="J63" s="598"/>
      <c r="K63" s="64" t="s">
        <v>630</v>
      </c>
      <c r="X63" s="10">
        <v>0</v>
      </c>
    </row>
    <row r="64" spans="1:24" s="10" customFormat="1" ht="11.45" customHeight="1">
      <c r="A64" s="300"/>
      <c r="B64" s="65"/>
      <c r="D64" s="3"/>
      <c r="E64" s="194"/>
      <c r="X64" s="10">
        <v>11</v>
      </c>
    </row>
    <row r="65" spans="1:24" s="10" customFormat="1" ht="22.5" hidden="1" customHeight="1">
      <c r="A65" s="1392" t="s">
        <v>892</v>
      </c>
      <c r="B65" s="65"/>
      <c r="D65" s="374">
        <v>1</v>
      </c>
      <c r="E65" s="429" t="s">
        <v>893</v>
      </c>
      <c r="F65" s="425" t="s">
        <v>808</v>
      </c>
      <c r="G65" s="426"/>
      <c r="H65" s="602"/>
      <c r="I65" s="426"/>
      <c r="J65" s="602"/>
      <c r="K65" s="169" t="s">
        <v>894</v>
      </c>
      <c r="X65" s="10">
        <v>0</v>
      </c>
    </row>
    <row r="66" spans="1:24" s="10" customFormat="1" ht="56.25" hidden="1" customHeight="1">
      <c r="A66" s="1392"/>
      <c r="B66" s="65"/>
      <c r="D66" s="428" t="s">
        <v>108</v>
      </c>
      <c r="E66" s="150" t="s">
        <v>895</v>
      </c>
      <c r="F66" s="371" t="s">
        <v>545</v>
      </c>
      <c r="G66" s="371" t="s">
        <v>545</v>
      </c>
      <c r="H66" s="292"/>
      <c r="I66" s="371" t="s">
        <v>545</v>
      </c>
      <c r="J66" s="292"/>
      <c r="K66" s="64"/>
      <c r="X66" s="10">
        <v>0</v>
      </c>
    </row>
    <row r="67" spans="1:24" s="10" customFormat="1" ht="33.75" hidden="1" customHeight="1">
      <c r="A67" s="1392"/>
      <c r="B67" s="65"/>
      <c r="D67" s="428" t="s">
        <v>707</v>
      </c>
      <c r="E67" s="320" t="s">
        <v>896</v>
      </c>
      <c r="F67" s="371" t="s">
        <v>860</v>
      </c>
      <c r="G67" s="421"/>
      <c r="H67" s="292"/>
      <c r="I67" s="421"/>
      <c r="J67" s="292"/>
      <c r="K67" s="64"/>
      <c r="X67" s="10">
        <v>0</v>
      </c>
    </row>
    <row r="68" spans="1:24" s="10" customFormat="1" ht="22.5" hidden="1" customHeight="1">
      <c r="A68" s="1392"/>
      <c r="B68" s="65"/>
      <c r="D68" s="428" t="s">
        <v>307</v>
      </c>
      <c r="E68" s="320" t="s">
        <v>897</v>
      </c>
      <c r="F68" s="371" t="s">
        <v>860</v>
      </c>
      <c r="G68" s="421"/>
      <c r="H68" s="292"/>
      <c r="I68" s="421"/>
      <c r="J68" s="292"/>
      <c r="K68" s="64"/>
      <c r="X68" s="10">
        <v>0</v>
      </c>
    </row>
    <row r="69" spans="1:24" s="10" customFormat="1" ht="22.5" hidden="1" customHeight="1">
      <c r="A69" s="1392"/>
      <c r="B69" s="65"/>
      <c r="D69" s="428" t="s">
        <v>310</v>
      </c>
      <c r="E69" s="320" t="s">
        <v>898</v>
      </c>
      <c r="F69" s="415" t="s">
        <v>557</v>
      </c>
      <c r="G69" s="427"/>
      <c r="H69" s="292"/>
      <c r="I69" s="427"/>
      <c r="J69" s="292"/>
      <c r="K69" s="64"/>
      <c r="X69" s="10">
        <v>0</v>
      </c>
    </row>
    <row r="70" spans="1:24" s="10" customFormat="1" ht="22.5" hidden="1" customHeight="1">
      <c r="A70" s="1392"/>
      <c r="B70" s="65"/>
      <c r="D70" s="428" t="s">
        <v>727</v>
      </c>
      <c r="E70" s="320" t="s">
        <v>899</v>
      </c>
      <c r="F70" s="415" t="s">
        <v>557</v>
      </c>
      <c r="G70" s="427"/>
      <c r="H70" s="292"/>
      <c r="I70" s="427"/>
      <c r="J70" s="292"/>
      <c r="K70" s="64"/>
      <c r="X70" s="10">
        <v>0</v>
      </c>
    </row>
    <row r="71" spans="1:24" s="10" customFormat="1" ht="22.5" hidden="1" customHeight="1">
      <c r="A71" s="1392"/>
      <c r="B71" s="65"/>
      <c r="D71" s="374" t="s">
        <v>88</v>
      </c>
      <c r="E71" s="375" t="s">
        <v>900</v>
      </c>
      <c r="F71" s="371" t="s">
        <v>860</v>
      </c>
      <c r="G71" s="318"/>
      <c r="H71" s="603"/>
      <c r="I71" s="318"/>
      <c r="J71" s="603"/>
      <c r="K71" s="170"/>
      <c r="X71" s="10">
        <v>0</v>
      </c>
    </row>
    <row r="72" spans="1:24" s="10" customFormat="1" ht="56.25" hidden="1" customHeight="1">
      <c r="A72" s="1392"/>
      <c r="B72" s="65"/>
      <c r="D72" s="374" t="s">
        <v>89</v>
      </c>
      <c r="E72" s="375" t="s">
        <v>901</v>
      </c>
      <c r="F72" s="415" t="s">
        <v>557</v>
      </c>
      <c r="G72" s="427"/>
      <c r="H72" s="598"/>
      <c r="I72" s="427"/>
      <c r="J72" s="598"/>
      <c r="K72" s="170"/>
      <c r="X72" s="10">
        <v>0</v>
      </c>
    </row>
    <row r="73" spans="1:24" s="10" customFormat="1" ht="33.75" hidden="1" customHeight="1">
      <c r="A73" s="1392"/>
      <c r="B73" s="65"/>
      <c r="D73" s="374" t="s">
        <v>109</v>
      </c>
      <c r="E73" s="375" t="s">
        <v>902</v>
      </c>
      <c r="F73" s="420" t="s">
        <v>818</v>
      </c>
      <c r="G73" s="377"/>
      <c r="H73" s="598"/>
      <c r="I73" s="377"/>
      <c r="J73" s="598"/>
      <c r="K73" s="64"/>
      <c r="X73" s="10">
        <v>0</v>
      </c>
    </row>
    <row r="74" spans="1:24" s="10" customFormat="1" ht="22.5" hidden="1" customHeight="1">
      <c r="A74" s="1392"/>
      <c r="B74" s="65" t="s">
        <v>587</v>
      </c>
      <c r="D74" s="374" t="s">
        <v>90</v>
      </c>
      <c r="E74" s="375" t="s">
        <v>903</v>
      </c>
      <c r="F74" s="420" t="s">
        <v>306</v>
      </c>
      <c r="G74" s="114"/>
      <c r="H74" s="598"/>
      <c r="I74" s="114"/>
      <c r="J74" s="598"/>
      <c r="K74" s="64" t="s">
        <v>630</v>
      </c>
      <c r="X74" s="10">
        <v>0</v>
      </c>
    </row>
    <row r="75" spans="1:24" s="10" customFormat="1" ht="45" hidden="1" customHeight="1">
      <c r="A75" s="1392"/>
      <c r="B75" s="65" t="s">
        <v>587</v>
      </c>
      <c r="D75" s="374" t="s">
        <v>651</v>
      </c>
      <c r="E75" s="376" t="s">
        <v>904</v>
      </c>
      <c r="F75" s="415" t="s">
        <v>306</v>
      </c>
      <c r="G75" s="114"/>
      <c r="H75" s="598"/>
      <c r="I75" s="114"/>
      <c r="J75" s="598"/>
      <c r="K75" s="64" t="s">
        <v>630</v>
      </c>
      <c r="X75" s="10">
        <v>0</v>
      </c>
    </row>
    <row r="76" spans="1:24" s="10" customFormat="1" ht="11.45" customHeight="1">
      <c r="A76" s="300"/>
      <c r="B76" s="65"/>
      <c r="D76" s="3"/>
      <c r="E76" s="194"/>
      <c r="X76" s="10">
        <v>11</v>
      </c>
    </row>
    <row r="77" spans="1:24" s="10" customFormat="1" ht="11.25" hidden="1" customHeight="1">
      <c r="A77" s="1392" t="s">
        <v>905</v>
      </c>
      <c r="B77" s="65"/>
      <c r="D77" s="374">
        <v>1</v>
      </c>
      <c r="E77" s="375" t="s">
        <v>906</v>
      </c>
      <c r="F77" s="415" t="s">
        <v>808</v>
      </c>
      <c r="G77" s="418"/>
      <c r="H77" s="598"/>
      <c r="I77" s="418"/>
      <c r="J77" s="598"/>
      <c r="K77" s="64" t="s">
        <v>907</v>
      </c>
      <c r="X77" s="10">
        <v>0</v>
      </c>
    </row>
    <row r="78" spans="1:24" s="10" customFormat="1" ht="11.25" hidden="1" customHeight="1">
      <c r="A78" s="1392"/>
      <c r="B78" s="65"/>
      <c r="D78" s="374" t="s">
        <v>108</v>
      </c>
      <c r="E78" s="375" t="s">
        <v>908</v>
      </c>
      <c r="F78" s="415" t="s">
        <v>808</v>
      </c>
      <c r="G78" s="418"/>
      <c r="H78" s="598"/>
      <c r="I78" s="418"/>
      <c r="J78" s="598"/>
      <c r="K78" s="64" t="s">
        <v>909</v>
      </c>
      <c r="X78" s="10">
        <v>0</v>
      </c>
    </row>
    <row r="79" spans="1:24" s="10" customFormat="1" ht="22.5" hidden="1" customHeight="1">
      <c r="A79" s="1392"/>
      <c r="B79" s="65"/>
      <c r="D79" s="374" t="s">
        <v>88</v>
      </c>
      <c r="E79" s="416" t="s">
        <v>910</v>
      </c>
      <c r="F79" s="371" t="s">
        <v>857</v>
      </c>
      <c r="G79" s="418"/>
      <c r="H79" s="598"/>
      <c r="I79" s="418"/>
      <c r="J79" s="598"/>
      <c r="K79" s="64" t="s">
        <v>911</v>
      </c>
      <c r="X79" s="10">
        <v>0</v>
      </c>
    </row>
    <row r="80" spans="1:24" s="10" customFormat="1" ht="11.25" hidden="1" customHeight="1">
      <c r="A80" s="1392"/>
      <c r="B80" s="65"/>
      <c r="D80" s="374" t="s">
        <v>324</v>
      </c>
      <c r="E80" s="417" t="s">
        <v>912</v>
      </c>
      <c r="F80" s="371" t="s">
        <v>857</v>
      </c>
      <c r="G80" s="418"/>
      <c r="H80" s="598"/>
      <c r="I80" s="418"/>
      <c r="J80" s="598"/>
      <c r="K80" s="64"/>
      <c r="X80" s="10">
        <v>0</v>
      </c>
    </row>
    <row r="81" spans="1:24" s="10" customFormat="1" ht="11.25" hidden="1" customHeight="1">
      <c r="A81" s="1392"/>
      <c r="B81" s="65"/>
      <c r="D81" s="374" t="s">
        <v>332</v>
      </c>
      <c r="E81" s="417" t="s">
        <v>913</v>
      </c>
      <c r="F81" s="371" t="s">
        <v>857</v>
      </c>
      <c r="G81" s="418"/>
      <c r="H81" s="598"/>
      <c r="I81" s="418"/>
      <c r="J81" s="598"/>
      <c r="K81" s="64"/>
      <c r="X81" s="10">
        <v>0</v>
      </c>
    </row>
    <row r="82" spans="1:24" s="10" customFormat="1" ht="11.25" hidden="1" customHeight="1">
      <c r="A82" s="1392"/>
      <c r="B82" s="65"/>
      <c r="D82" s="374" t="s">
        <v>334</v>
      </c>
      <c r="E82" s="417" t="s">
        <v>914</v>
      </c>
      <c r="F82" s="371" t="s">
        <v>857</v>
      </c>
      <c r="G82" s="418"/>
      <c r="H82" s="598"/>
      <c r="I82" s="418"/>
      <c r="J82" s="598"/>
      <c r="K82" s="64"/>
      <c r="X82" s="10">
        <v>0</v>
      </c>
    </row>
    <row r="83" spans="1:24" s="10" customFormat="1" ht="11.25" hidden="1" customHeight="1">
      <c r="A83" s="1392"/>
      <c r="B83" s="65"/>
      <c r="D83" s="374" t="s">
        <v>336</v>
      </c>
      <c r="E83" s="417" t="s">
        <v>915</v>
      </c>
      <c r="F83" s="371" t="s">
        <v>857</v>
      </c>
      <c r="G83" s="418"/>
      <c r="H83" s="598"/>
      <c r="I83" s="418"/>
      <c r="J83" s="598"/>
      <c r="K83" s="64"/>
      <c r="X83" s="10">
        <v>0</v>
      </c>
    </row>
    <row r="84" spans="1:24" s="10" customFormat="1" ht="11.25" hidden="1" customHeight="1">
      <c r="A84" s="1392"/>
      <c r="B84" s="65"/>
      <c r="D84" s="374" t="s">
        <v>916</v>
      </c>
      <c r="E84" s="417" t="s">
        <v>917</v>
      </c>
      <c r="F84" s="371" t="s">
        <v>857</v>
      </c>
      <c r="G84" s="418"/>
      <c r="H84" s="598"/>
      <c r="I84" s="418"/>
      <c r="J84" s="598"/>
      <c r="K84" s="64"/>
      <c r="X84" s="10">
        <v>0</v>
      </c>
    </row>
    <row r="85" spans="1:24" s="10" customFormat="1" ht="11.25" hidden="1" customHeight="1">
      <c r="A85" s="1392"/>
      <c r="B85" s="65"/>
      <c r="D85" s="374" t="s">
        <v>918</v>
      </c>
      <c r="E85" s="417" t="s">
        <v>919</v>
      </c>
      <c r="F85" s="371" t="s">
        <v>857</v>
      </c>
      <c r="G85" s="418"/>
      <c r="H85" s="598"/>
      <c r="I85" s="418"/>
      <c r="J85" s="598"/>
      <c r="K85" s="64"/>
      <c r="X85" s="10">
        <v>0</v>
      </c>
    </row>
    <row r="86" spans="1:24" s="10" customFormat="1" ht="11.25" hidden="1" customHeight="1">
      <c r="A86" s="1392"/>
      <c r="B86" s="65"/>
      <c r="D86" s="374" t="s">
        <v>920</v>
      </c>
      <c r="E86" s="417" t="s">
        <v>921</v>
      </c>
      <c r="F86" s="371" t="s">
        <v>857</v>
      </c>
      <c r="G86" s="418"/>
      <c r="H86" s="598"/>
      <c r="I86" s="418"/>
      <c r="J86" s="598"/>
      <c r="K86" s="64"/>
      <c r="X86" s="10">
        <v>0</v>
      </c>
    </row>
    <row r="87" spans="1:24" s="10" customFormat="1" ht="45" hidden="1" customHeight="1">
      <c r="A87" s="1392"/>
      <c r="B87" s="65"/>
      <c r="D87" s="374" t="s">
        <v>89</v>
      </c>
      <c r="E87" s="375" t="s">
        <v>922</v>
      </c>
      <c r="F87" s="371" t="s">
        <v>857</v>
      </c>
      <c r="G87" s="418"/>
      <c r="H87" s="598"/>
      <c r="I87" s="418"/>
      <c r="J87" s="598"/>
      <c r="K87" s="64" t="s">
        <v>923</v>
      </c>
      <c r="X87" s="10">
        <v>0</v>
      </c>
    </row>
    <row r="88" spans="1:24" s="10" customFormat="1" ht="11.25" hidden="1" customHeight="1">
      <c r="A88" s="1392"/>
      <c r="B88" s="65"/>
      <c r="D88" s="374" t="s">
        <v>752</v>
      </c>
      <c r="E88" s="417" t="s">
        <v>912</v>
      </c>
      <c r="F88" s="371" t="s">
        <v>857</v>
      </c>
      <c r="G88" s="418"/>
      <c r="H88" s="598"/>
      <c r="I88" s="418"/>
      <c r="J88" s="598"/>
      <c r="K88" s="64"/>
      <c r="X88" s="10">
        <v>0</v>
      </c>
    </row>
    <row r="89" spans="1:24" s="10" customFormat="1" ht="11.25" hidden="1" customHeight="1">
      <c r="A89" s="1392"/>
      <c r="B89" s="65"/>
      <c r="D89" s="374" t="s">
        <v>794</v>
      </c>
      <c r="E89" s="417" t="s">
        <v>913</v>
      </c>
      <c r="F89" s="371" t="s">
        <v>857</v>
      </c>
      <c r="G89" s="418"/>
      <c r="H89" s="598"/>
      <c r="I89" s="418"/>
      <c r="J89" s="598"/>
      <c r="K89" s="64"/>
      <c r="X89" s="10">
        <v>0</v>
      </c>
    </row>
    <row r="90" spans="1:24" s="10" customFormat="1" ht="11.25" hidden="1" customHeight="1">
      <c r="A90" s="1392"/>
      <c r="B90" s="65"/>
      <c r="D90" s="374" t="s">
        <v>797</v>
      </c>
      <c r="E90" s="417" t="s">
        <v>914</v>
      </c>
      <c r="F90" s="371" t="s">
        <v>857</v>
      </c>
      <c r="G90" s="418"/>
      <c r="H90" s="598"/>
      <c r="I90" s="418"/>
      <c r="J90" s="598"/>
      <c r="K90" s="64"/>
      <c r="X90" s="10">
        <v>0</v>
      </c>
    </row>
    <row r="91" spans="1:24" s="10" customFormat="1" ht="11.25" hidden="1" customHeight="1">
      <c r="A91" s="1392"/>
      <c r="B91" s="65"/>
      <c r="D91" s="374" t="s">
        <v>875</v>
      </c>
      <c r="E91" s="417" t="s">
        <v>915</v>
      </c>
      <c r="F91" s="371" t="s">
        <v>857</v>
      </c>
      <c r="G91" s="418"/>
      <c r="H91" s="598"/>
      <c r="I91" s="418"/>
      <c r="J91" s="598"/>
      <c r="K91" s="64"/>
      <c r="X91" s="10">
        <v>0</v>
      </c>
    </row>
    <row r="92" spans="1:24" s="10" customFormat="1" ht="11.25" hidden="1" customHeight="1">
      <c r="A92" s="1392"/>
      <c r="B92" s="65"/>
      <c r="D92" s="374" t="s">
        <v>877</v>
      </c>
      <c r="E92" s="417" t="s">
        <v>917</v>
      </c>
      <c r="F92" s="371" t="s">
        <v>857</v>
      </c>
      <c r="G92" s="418"/>
      <c r="H92" s="598"/>
      <c r="I92" s="418"/>
      <c r="J92" s="598"/>
      <c r="K92" s="64"/>
      <c r="X92" s="10">
        <v>0</v>
      </c>
    </row>
    <row r="93" spans="1:24" s="10" customFormat="1" ht="11.25" hidden="1" customHeight="1">
      <c r="A93" s="1392"/>
      <c r="B93" s="65"/>
      <c r="D93" s="374" t="s">
        <v>924</v>
      </c>
      <c r="E93" s="417" t="s">
        <v>919</v>
      </c>
      <c r="F93" s="371" t="s">
        <v>857</v>
      </c>
      <c r="G93" s="418"/>
      <c r="H93" s="598"/>
      <c r="I93" s="418"/>
      <c r="J93" s="598"/>
      <c r="K93" s="64"/>
      <c r="X93" s="10">
        <v>0</v>
      </c>
    </row>
    <row r="94" spans="1:24" s="10" customFormat="1" ht="11.25" hidden="1" customHeight="1">
      <c r="A94" s="1392"/>
      <c r="B94" s="65"/>
      <c r="D94" s="374" t="s">
        <v>925</v>
      </c>
      <c r="E94" s="417" t="s">
        <v>921</v>
      </c>
      <c r="F94" s="371" t="s">
        <v>857</v>
      </c>
      <c r="G94" s="418"/>
      <c r="H94" s="598"/>
      <c r="I94" s="418"/>
      <c r="J94" s="598"/>
      <c r="K94" s="64"/>
      <c r="X94" s="10">
        <v>0</v>
      </c>
    </row>
    <row r="95" spans="1:24" s="10" customFormat="1" ht="24.75" hidden="1" customHeight="1">
      <c r="A95" s="1392"/>
      <c r="B95" s="65"/>
      <c r="D95" s="374" t="s">
        <v>109</v>
      </c>
      <c r="E95" s="375" t="s">
        <v>926</v>
      </c>
      <c r="F95" s="419" t="s">
        <v>557</v>
      </c>
      <c r="G95" s="421"/>
      <c r="H95" s="598"/>
      <c r="I95" s="421"/>
      <c r="J95" s="598"/>
      <c r="K95" s="64" t="s">
        <v>927</v>
      </c>
      <c r="X95" s="10">
        <v>0</v>
      </c>
    </row>
    <row r="96" spans="1:24" s="10" customFormat="1" ht="33.75" hidden="1" customHeight="1">
      <c r="A96" s="1392"/>
      <c r="B96" s="65"/>
      <c r="D96" s="374" t="s">
        <v>90</v>
      </c>
      <c r="E96" s="375" t="s">
        <v>928</v>
      </c>
      <c r="F96" s="420" t="s">
        <v>818</v>
      </c>
      <c r="G96" s="422"/>
      <c r="H96" s="598"/>
      <c r="I96" s="422"/>
      <c r="J96" s="598"/>
      <c r="K96" s="64"/>
      <c r="X96" s="10">
        <v>0</v>
      </c>
    </row>
    <row r="97" spans="1:24" s="10" customFormat="1" ht="22.5" hidden="1" customHeight="1">
      <c r="A97" s="1392"/>
      <c r="B97" s="65" t="s">
        <v>587</v>
      </c>
      <c r="D97" s="374" t="s">
        <v>91</v>
      </c>
      <c r="E97" s="375" t="s">
        <v>929</v>
      </c>
      <c r="F97" s="420" t="s">
        <v>306</v>
      </c>
      <c r="G97" s="217"/>
      <c r="H97" s="598"/>
      <c r="I97" s="217"/>
      <c r="J97" s="598"/>
      <c r="K97" s="64" t="s">
        <v>630</v>
      </c>
      <c r="X97" s="10">
        <v>0</v>
      </c>
    </row>
    <row r="98" spans="1:24" s="10" customFormat="1" ht="45" hidden="1" customHeight="1">
      <c r="A98" s="1392"/>
      <c r="B98" s="65" t="s">
        <v>587</v>
      </c>
      <c r="D98" s="374" t="s">
        <v>930</v>
      </c>
      <c r="E98" s="376" t="s">
        <v>931</v>
      </c>
      <c r="F98" s="415" t="s">
        <v>306</v>
      </c>
      <c r="G98" s="217"/>
      <c r="H98" s="598"/>
      <c r="I98" s="217"/>
      <c r="J98" s="598"/>
      <c r="K98" s="64" t="s">
        <v>630</v>
      </c>
      <c r="X98" s="10">
        <v>0</v>
      </c>
    </row>
    <row r="99" spans="1:24" s="10" customFormat="1" ht="95.25" hidden="1" customHeight="1">
      <c r="A99" s="1392"/>
      <c r="B99" s="65" t="s">
        <v>587</v>
      </c>
      <c r="D99" s="374" t="s">
        <v>110</v>
      </c>
      <c r="E99" s="375" t="s">
        <v>932</v>
      </c>
      <c r="F99" s="415" t="s">
        <v>306</v>
      </c>
      <c r="G99" s="217"/>
      <c r="H99" s="598"/>
      <c r="I99" s="217"/>
      <c r="J99" s="598"/>
      <c r="K99" s="64" t="s">
        <v>630</v>
      </c>
      <c r="X99" s="10">
        <v>0</v>
      </c>
    </row>
    <row r="100" spans="1:24" s="10" customFormat="1" ht="22.5" hidden="1" customHeight="1">
      <c r="A100" s="1392"/>
      <c r="B100" s="65" t="s">
        <v>587</v>
      </c>
      <c r="D100" s="374" t="s">
        <v>146</v>
      </c>
      <c r="E100" s="375" t="s">
        <v>933</v>
      </c>
      <c r="F100" s="415" t="s">
        <v>306</v>
      </c>
      <c r="G100" s="217"/>
      <c r="H100" s="598"/>
      <c r="I100" s="217"/>
      <c r="J100" s="598"/>
      <c r="K100" s="64" t="s">
        <v>630</v>
      </c>
      <c r="X100" s="10">
        <v>0</v>
      </c>
    </row>
    <row r="101" spans="1:24" s="10" customFormat="1" ht="11.45" customHeight="1">
      <c r="A101" s="300"/>
      <c r="B101" s="65"/>
      <c r="D101" s="3"/>
      <c r="E101" s="194"/>
      <c r="X101" s="10">
        <v>11</v>
      </c>
    </row>
    <row r="102" spans="1:24" ht="22.5" hidden="1" customHeight="1">
      <c r="A102" s="300" t="s">
        <v>80</v>
      </c>
      <c r="B102" s="65">
        <v>0</v>
      </c>
      <c r="C102" s="10">
        <v>3</v>
      </c>
      <c r="D102" s="10">
        <v>7</v>
      </c>
      <c r="E102" s="10">
        <v>69</v>
      </c>
      <c r="F102" s="10">
        <v>10</v>
      </c>
      <c r="G102" s="10">
        <v>0</v>
      </c>
      <c r="H102" s="10">
        <v>0</v>
      </c>
      <c r="I102" s="10">
        <v>43</v>
      </c>
      <c r="J102" s="10">
        <v>43</v>
      </c>
      <c r="K102" s="10">
        <v>73</v>
      </c>
      <c r="L102" s="10">
        <v>3</v>
      </c>
      <c r="M102" s="10">
        <v>10</v>
      </c>
      <c r="N102" s="10">
        <v>10</v>
      </c>
      <c r="O102" s="10">
        <v>10</v>
      </c>
      <c r="P102" s="10">
        <v>10</v>
      </c>
      <c r="Q102" s="10">
        <v>10</v>
      </c>
      <c r="R102" s="10">
        <v>10</v>
      </c>
      <c r="S102" s="10">
        <v>10</v>
      </c>
      <c r="T102" s="10">
        <v>10</v>
      </c>
      <c r="U102" s="10">
        <v>10</v>
      </c>
      <c r="V102" s="10">
        <v>10</v>
      </c>
      <c r="W102" s="10">
        <v>10</v>
      </c>
      <c r="X102" s="1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34" hidden="1" customWidth="1"/>
    <col min="2" max="2" width="2" style="34" hidden="1" customWidth="1"/>
    <col min="3" max="3" width="3" style="34" customWidth="1"/>
    <col min="4" max="4" width="4" style="34" customWidth="1"/>
    <col min="5" max="5" width="44" style="34" customWidth="1"/>
    <col min="6" max="6" width="6.42578125" style="34" customWidth="1"/>
    <col min="7" max="7" width="4" style="34" customWidth="1"/>
    <col min="8" max="8" width="5" style="34" customWidth="1"/>
    <col min="9" max="9" width="52" style="34" customWidth="1"/>
    <col min="10" max="10" width="7" style="34" customWidth="1"/>
    <col min="11" max="11" width="3" style="34" customWidth="1"/>
    <col min="12" max="12" width="6" style="34" customWidth="1"/>
    <col min="13" max="13" width="56" style="34" customWidth="1"/>
    <col min="14" max="14" width="8" style="79" customWidth="1"/>
    <col min="15" max="20" width="9.140625" style="66" hidden="1"/>
    <col min="21" max="24" width="9.140625" style="16" hidden="1"/>
    <col min="25" max="37" width="9.140625" style="79" hidden="1"/>
    <col min="38" max="38" width="8" style="79" customWidth="1"/>
    <col min="39" max="39" width="9.140625" style="34" hidden="1"/>
  </cols>
  <sheetData>
    <row r="1" spans="1:39" ht="11.25" hidden="1" customHeight="1">
      <c r="AM1" s="34" t="s">
        <v>14</v>
      </c>
    </row>
    <row r="2" spans="1:39" ht="11.25" hidden="1" customHeight="1">
      <c r="AM2" s="34">
        <v>0</v>
      </c>
    </row>
    <row r="3" spans="1:39" ht="11.45" customHeight="1">
      <c r="AM3" s="34">
        <v>11</v>
      </c>
    </row>
    <row r="4" spans="1:39" ht="35.65" customHeight="1">
      <c r="A4" s="16"/>
      <c r="B4" s="16"/>
      <c r="D4" s="1139" t="str">
        <f>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1140"/>
      <c r="F4" s="1140"/>
      <c r="G4" s="1140"/>
      <c r="H4" s="1140"/>
      <c r="I4" s="1141"/>
      <c r="J4" s="79"/>
      <c r="K4" s="79"/>
      <c r="L4" s="79"/>
      <c r="M4" s="79"/>
      <c r="AM4" s="34">
        <v>34</v>
      </c>
    </row>
    <row r="5" spans="1:39" s="41" customFormat="1" ht="14.65" customHeight="1">
      <c r="A5" s="16"/>
      <c r="B5" s="16"/>
      <c r="C5" s="16"/>
      <c r="D5" s="1142" t="str">
        <f>IF(org=0,"Не определено",org)</f>
        <v>Общество с ограниченной ответственностью "Березовский рудник"</v>
      </c>
      <c r="E5" s="1143"/>
      <c r="F5" s="1143"/>
      <c r="G5" s="1143"/>
      <c r="H5" s="1143"/>
      <c r="I5" s="1144"/>
      <c r="J5" s="340"/>
      <c r="K5" s="340"/>
      <c r="L5" s="340"/>
      <c r="M5" s="340"/>
      <c r="N5" s="340"/>
      <c r="O5" s="67"/>
      <c r="P5" s="67"/>
      <c r="Q5" s="67"/>
      <c r="R5" s="67"/>
      <c r="S5" s="67"/>
      <c r="T5" s="67"/>
      <c r="U5" s="727"/>
      <c r="V5" s="727"/>
      <c r="W5" s="727"/>
      <c r="X5" s="727"/>
      <c r="Y5" s="340"/>
      <c r="Z5" s="340"/>
      <c r="AA5" s="340"/>
      <c r="AB5" s="340"/>
      <c r="AC5" s="340"/>
      <c r="AD5" s="340"/>
      <c r="AE5" s="340"/>
      <c r="AF5" s="340"/>
      <c r="AG5" s="340"/>
      <c r="AH5" s="340"/>
      <c r="AI5" s="340"/>
      <c r="AJ5" s="340"/>
      <c r="AK5" s="340"/>
      <c r="AL5" s="340"/>
      <c r="AM5" s="41">
        <v>14</v>
      </c>
    </row>
    <row r="6" spans="1:39" s="41" customFormat="1" ht="6.4" customHeight="1">
      <c r="A6" s="1131"/>
      <c r="B6" s="1131"/>
      <c r="C6" s="1131"/>
      <c r="D6" s="1131"/>
      <c r="E6" s="1131"/>
      <c r="F6" s="1131"/>
      <c r="G6" s="10"/>
      <c r="H6" s="10"/>
      <c r="I6" s="10"/>
      <c r="J6" s="10"/>
      <c r="K6" s="10"/>
      <c r="N6" s="340"/>
      <c r="O6" s="67"/>
      <c r="P6" s="67"/>
      <c r="Q6" s="67"/>
      <c r="R6" s="67"/>
      <c r="S6" s="67"/>
      <c r="T6" s="67"/>
      <c r="U6" s="727"/>
      <c r="V6" s="727"/>
      <c r="W6" s="727"/>
      <c r="X6" s="727"/>
      <c r="Y6" s="340"/>
      <c r="Z6" s="340"/>
      <c r="AA6" s="340"/>
      <c r="AB6" s="340"/>
      <c r="AC6" s="340"/>
      <c r="AD6" s="340"/>
      <c r="AE6" s="340"/>
      <c r="AF6" s="340"/>
      <c r="AG6" s="340"/>
      <c r="AH6" s="340"/>
      <c r="AI6" s="340"/>
      <c r="AJ6" s="340"/>
      <c r="AK6" s="340"/>
      <c r="AL6" s="340"/>
      <c r="AM6" s="41">
        <v>6</v>
      </c>
    </row>
    <row r="7" spans="1:39" ht="45.75" hidden="1" customHeight="1">
      <c r="E7" s="114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0"/>
      <c r="G7" s="1150"/>
      <c r="H7" s="1150"/>
      <c r="I7" s="1150"/>
      <c r="J7" s="1150"/>
      <c r="K7" s="1150"/>
      <c r="L7" s="1150"/>
      <c r="M7" s="1150"/>
      <c r="AM7" s="34">
        <v>0</v>
      </c>
    </row>
    <row r="8" spans="1:39" s="41" customFormat="1" ht="6.4" customHeight="1">
      <c r="A8" s="113"/>
      <c r="B8" s="113"/>
      <c r="C8" s="113"/>
      <c r="D8" s="113"/>
      <c r="E8" s="113"/>
      <c r="F8" s="113"/>
      <c r="G8" s="113"/>
      <c r="H8" s="113"/>
      <c r="I8" s="113"/>
      <c r="J8" s="113"/>
      <c r="K8" s="113"/>
      <c r="L8" s="113"/>
      <c r="N8" s="340"/>
      <c r="O8" s="67"/>
      <c r="P8" s="67"/>
      <c r="Q8" s="67"/>
      <c r="R8" s="67"/>
      <c r="S8" s="67"/>
      <c r="T8" s="67"/>
      <c r="U8" s="727"/>
      <c r="V8" s="727"/>
      <c r="W8" s="727"/>
      <c r="X8" s="727"/>
      <c r="Y8" s="340"/>
      <c r="Z8" s="340"/>
      <c r="AA8" s="340"/>
      <c r="AB8" s="340"/>
      <c r="AC8" s="340"/>
      <c r="AD8" s="340"/>
      <c r="AE8" s="340"/>
      <c r="AF8" s="340"/>
      <c r="AG8" s="340"/>
      <c r="AH8" s="340"/>
      <c r="AI8" s="340"/>
      <c r="AJ8" s="340"/>
      <c r="AK8" s="340"/>
      <c r="AL8" s="340"/>
      <c r="AM8" s="41">
        <v>6</v>
      </c>
    </row>
    <row r="9" spans="1:39" ht="18.75" customHeight="1">
      <c r="A9" s="1145"/>
      <c r="B9" s="10"/>
      <c r="C9" s="10"/>
      <c r="D9" s="1146" t="s">
        <v>103</v>
      </c>
      <c r="E9" s="1146"/>
      <c r="F9" s="1147" t="s">
        <v>104</v>
      </c>
      <c r="G9" s="1148"/>
      <c r="H9" s="1148"/>
      <c r="I9" s="1148"/>
      <c r="J9" s="1151" t="s">
        <v>105</v>
      </c>
      <c r="K9" s="1151"/>
      <c r="L9" s="1151"/>
      <c r="M9" s="1151"/>
      <c r="AM9" s="34">
        <v>18</v>
      </c>
    </row>
    <row r="10" spans="1:39" ht="24" customHeight="1">
      <c r="A10" s="1145"/>
      <c r="B10" s="56"/>
      <c r="C10" s="295"/>
      <c r="D10" s="40" t="s">
        <v>86</v>
      </c>
      <c r="E10" s="40" t="s">
        <v>87</v>
      </c>
      <c r="F10" s="40" t="s">
        <v>106</v>
      </c>
      <c r="G10" s="1152" t="s">
        <v>86</v>
      </c>
      <c r="H10" s="1153"/>
      <c r="I10" s="40" t="s">
        <v>87</v>
      </c>
      <c r="J10" s="40" t="s">
        <v>106</v>
      </c>
      <c r="K10" s="1152" t="s">
        <v>86</v>
      </c>
      <c r="L10" s="1153"/>
      <c r="M10" s="40" t="s">
        <v>87</v>
      </c>
      <c r="N10" s="463"/>
      <c r="AM10" s="34">
        <v>23</v>
      </c>
    </row>
    <row r="11" spans="1:39" s="34" customFormat="1" ht="11.25" hidden="1" customHeight="1">
      <c r="A11" s="341"/>
      <c r="B11" s="341"/>
      <c r="C11" s="341"/>
      <c r="D11" s="342" t="s">
        <v>107</v>
      </c>
      <c r="E11" s="342" t="s">
        <v>108</v>
      </c>
      <c r="F11" s="342" t="s">
        <v>88</v>
      </c>
      <c r="G11" s="1135" t="s">
        <v>89</v>
      </c>
      <c r="H11" s="1136"/>
      <c r="I11" s="342" t="s">
        <v>109</v>
      </c>
      <c r="J11" s="342" t="s">
        <v>90</v>
      </c>
      <c r="K11" s="1137" t="s">
        <v>91</v>
      </c>
      <c r="L11" s="1138"/>
      <c r="M11" s="342" t="s">
        <v>110</v>
      </c>
      <c r="N11" s="463"/>
      <c r="O11" s="66"/>
      <c r="P11" s="66"/>
      <c r="Q11" s="66"/>
      <c r="R11" s="66"/>
      <c r="S11" s="66"/>
      <c r="T11" s="66"/>
      <c r="U11" s="16"/>
      <c r="V11" s="16"/>
      <c r="W11" s="16"/>
      <c r="X11" s="16"/>
      <c r="Y11" s="79"/>
      <c r="Z11" s="79"/>
      <c r="AA11" s="79"/>
      <c r="AB11" s="79"/>
      <c r="AC11" s="79"/>
      <c r="AD11" s="79"/>
      <c r="AE11" s="79"/>
      <c r="AF11" s="79"/>
      <c r="AG11" s="79"/>
      <c r="AH11" s="79"/>
      <c r="AI11" s="79"/>
      <c r="AJ11" s="79"/>
      <c r="AK11" s="79"/>
      <c r="AL11" s="79"/>
      <c r="AM11" s="34">
        <v>0</v>
      </c>
    </row>
    <row r="12" spans="1:39" ht="1.1499999999999999" customHeight="1">
      <c r="A12" s="343"/>
      <c r="B12" s="56"/>
      <c r="C12" s="56"/>
      <c r="D12" s="344"/>
      <c r="E12" s="210"/>
      <c r="F12" s="210"/>
      <c r="G12" s="620"/>
      <c r="H12" s="620"/>
      <c r="I12" s="210"/>
      <c r="J12" s="210"/>
      <c r="K12" s="82"/>
      <c r="L12" s="210"/>
      <c r="M12" s="345"/>
      <c r="N12" s="463"/>
      <c r="O12" s="66" t="s">
        <v>111</v>
      </c>
      <c r="P12" s="66" t="s">
        <v>112</v>
      </c>
      <c r="Q12" s="66" t="s">
        <v>113</v>
      </c>
      <c r="R12" s="66" t="s">
        <v>114</v>
      </c>
      <c r="AM12" s="34">
        <v>1</v>
      </c>
    </row>
    <row r="13" spans="1:39" s="34" customFormat="1" ht="15.75" customHeight="1">
      <c r="A13"/>
      <c r="B13"/>
      <c r="C13" s="74"/>
      <c r="D13" s="1157" t="s">
        <v>107</v>
      </c>
      <c r="E13" s="1158"/>
      <c r="F13" s="1161" t="s">
        <v>64</v>
      </c>
      <c r="G13" s="1162"/>
      <c r="H13" s="1163">
        <v>1</v>
      </c>
      <c r="I13" s="1154" t="str">
        <f>IF(U13="","",INDEX(TERRITORY_MR_LIST,MATCH(U13,TERRITORY_LIST_ID,0)))</f>
        <v/>
      </c>
      <c r="J13" s="1156" t="s">
        <v>19</v>
      </c>
      <c r="K13" s="346"/>
      <c r="L13" s="42" t="s">
        <v>107</v>
      </c>
      <c r="M13" s="347" t="s">
        <v>28</v>
      </c>
      <c r="N13" s="463"/>
      <c r="O13" s="66" t="s">
        <v>115</v>
      </c>
      <c r="P13" s="66">
        <f>$E$13</f>
        <v>0</v>
      </c>
      <c r="Q13" s="66" t="str">
        <f>IF($F$13="нет","без дифференциации",$I$13)</f>
        <v/>
      </c>
      <c r="R13" s="66" t="str">
        <f>IF($J$13="нет","без дифференциации",M13)</f>
        <v>без дифференциации</v>
      </c>
      <c r="S13" s="66"/>
      <c r="T13" s="66"/>
      <c r="U13" s="16"/>
      <c r="V13" s="16"/>
      <c r="W13" s="16"/>
      <c r="X13" s="16"/>
      <c r="Y13" s="79" t="s">
        <v>116</v>
      </c>
      <c r="Z13" s="79">
        <v>1705000</v>
      </c>
      <c r="AA13" s="79"/>
      <c r="AB13" s="79"/>
      <c r="AC13" s="79"/>
      <c r="AD13" s="79"/>
      <c r="AE13" s="79"/>
      <c r="AF13" s="79"/>
      <c r="AG13" s="79"/>
      <c r="AH13" s="79"/>
      <c r="AI13" s="79"/>
      <c r="AJ13" s="79"/>
      <c r="AK13" s="79"/>
      <c r="AL13" s="79"/>
      <c r="AM13" s="34">
        <v>15</v>
      </c>
    </row>
    <row r="14" spans="1:39" s="34" customFormat="1" ht="15.75" customHeight="1">
      <c r="A14"/>
      <c r="B14"/>
      <c r="C14" s="84"/>
      <c r="D14" s="1157"/>
      <c r="E14" s="1159"/>
      <c r="F14" s="1156"/>
      <c r="G14" s="1162"/>
      <c r="H14" s="1163"/>
      <c r="I14" s="1155"/>
      <c r="J14" s="1156"/>
      <c r="K14" s="234"/>
      <c r="L14" s="85"/>
      <c r="M14" s="349" t="s">
        <v>117</v>
      </c>
      <c r="N14" s="463"/>
      <c r="O14" s="66"/>
      <c r="P14" s="66"/>
      <c r="Q14" s="66"/>
      <c r="R14" s="66"/>
      <c r="S14" s="66"/>
      <c r="T14" s="66"/>
      <c r="U14" s="16"/>
      <c r="V14" s="16"/>
      <c r="W14" s="16"/>
      <c r="X14" s="16"/>
      <c r="Y14" s="79"/>
      <c r="Z14" s="79"/>
      <c r="AA14" s="79"/>
      <c r="AB14" s="79"/>
      <c r="AC14" s="79"/>
      <c r="AD14" s="79"/>
      <c r="AE14" s="79"/>
      <c r="AF14" s="79"/>
      <c r="AG14" s="79"/>
      <c r="AH14" s="79"/>
      <c r="AI14" s="79"/>
      <c r="AJ14" s="79"/>
      <c r="AK14" s="79"/>
      <c r="AL14" s="79"/>
      <c r="AM14" s="34">
        <v>15</v>
      </c>
    </row>
    <row r="15" spans="1:39" s="34" customFormat="1" ht="15.75" customHeight="1">
      <c r="A15"/>
      <c r="B15"/>
      <c r="C15" s="84"/>
      <c r="D15" s="1157"/>
      <c r="E15" s="1160"/>
      <c r="F15" s="1156"/>
      <c r="G15" s="621"/>
      <c r="H15" s="622"/>
      <c r="I15" s="107" t="s">
        <v>118</v>
      </c>
      <c r="J15" s="85"/>
      <c r="K15" s="85"/>
      <c r="L15" s="85"/>
      <c r="M15" s="350"/>
      <c r="N15" s="463"/>
      <c r="O15" s="66"/>
      <c r="P15" s="66"/>
      <c r="Q15" s="66"/>
      <c r="R15" s="66"/>
      <c r="S15" s="66"/>
      <c r="T15" s="66"/>
      <c r="U15" s="16"/>
      <c r="V15" s="16"/>
      <c r="W15" s="16"/>
      <c r="X15" s="16"/>
      <c r="Y15" s="79"/>
      <c r="Z15" s="79"/>
      <c r="AA15" s="79"/>
      <c r="AB15" s="79"/>
      <c r="AC15" s="79"/>
      <c r="AD15" s="79"/>
      <c r="AE15" s="79"/>
      <c r="AF15" s="79"/>
      <c r="AG15" s="79"/>
      <c r="AH15" s="79"/>
      <c r="AI15" s="79"/>
      <c r="AJ15" s="79"/>
      <c r="AK15" s="79"/>
      <c r="AL15" s="79"/>
      <c r="AM15" s="34">
        <v>15</v>
      </c>
    </row>
    <row r="16" spans="1:39" ht="15.75" customHeight="1">
      <c r="A16" s="351"/>
      <c r="B16" s="32"/>
      <c r="C16" s="53"/>
      <c r="D16" s="234"/>
      <c r="E16" s="108" t="s">
        <v>119</v>
      </c>
      <c r="F16" s="85"/>
      <c r="G16" s="85"/>
      <c r="H16" s="85"/>
      <c r="I16" s="85"/>
      <c r="J16" s="85"/>
      <c r="K16" s="85" t="s">
        <v>28</v>
      </c>
      <c r="L16" s="85"/>
      <c r="M16" s="350"/>
      <c r="N16" s="463"/>
      <c r="AM16" s="34">
        <v>15</v>
      </c>
    </row>
    <row r="17" spans="1:39" ht="11.25" hidden="1" customHeight="1">
      <c r="A17" s="34" t="s">
        <v>80</v>
      </c>
      <c r="B17" s="34">
        <v>0</v>
      </c>
      <c r="C17" s="34">
        <v>3</v>
      </c>
      <c r="D17" s="34">
        <v>4</v>
      </c>
      <c r="E17" s="34">
        <v>44</v>
      </c>
      <c r="F17" s="34">
        <v>6</v>
      </c>
      <c r="G17" s="34">
        <v>4</v>
      </c>
      <c r="H17" s="34">
        <v>5</v>
      </c>
      <c r="I17" s="34">
        <v>52</v>
      </c>
      <c r="J17" s="34">
        <v>6</v>
      </c>
      <c r="K17" s="34">
        <v>3</v>
      </c>
      <c r="L17" s="34">
        <v>6</v>
      </c>
      <c r="M17" s="34">
        <v>56</v>
      </c>
      <c r="N17" s="79">
        <v>8</v>
      </c>
      <c r="O17" s="66">
        <v>0</v>
      </c>
      <c r="P17" s="66">
        <v>0</v>
      </c>
      <c r="Q17" s="66">
        <v>0</v>
      </c>
      <c r="R17" s="66">
        <v>0</v>
      </c>
      <c r="S17" s="66">
        <v>0</v>
      </c>
      <c r="T17" s="66">
        <v>0</v>
      </c>
      <c r="U17" s="16">
        <v>0</v>
      </c>
      <c r="V17" s="16">
        <v>0</v>
      </c>
      <c r="W17" s="16">
        <v>0</v>
      </c>
      <c r="X17" s="16">
        <v>0</v>
      </c>
      <c r="Y17" s="79">
        <v>0</v>
      </c>
      <c r="Z17" s="79">
        <v>0</v>
      </c>
      <c r="AA17" s="79">
        <v>0</v>
      </c>
      <c r="AB17" s="79">
        <v>0</v>
      </c>
      <c r="AC17" s="79">
        <v>0</v>
      </c>
      <c r="AD17" s="79">
        <v>0</v>
      </c>
      <c r="AE17" s="79">
        <v>0</v>
      </c>
      <c r="AF17" s="79">
        <v>0</v>
      </c>
      <c r="AG17" s="79">
        <v>0</v>
      </c>
      <c r="AH17" s="79">
        <v>0</v>
      </c>
      <c r="AI17" s="79">
        <v>0</v>
      </c>
      <c r="AJ17" s="79">
        <v>0</v>
      </c>
      <c r="AK17" s="79">
        <v>0</v>
      </c>
      <c r="AL17" s="79">
        <v>8</v>
      </c>
      <c r="AM17" s="34">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7" hidden="1" customWidth="1"/>
    <col min="2" max="2" width="9.140625" style="10" hidden="1" customWidth="1"/>
    <col min="3" max="3" width="4" style="84" customWidth="1"/>
    <col min="4" max="4" width="6" style="10" customWidth="1"/>
    <col min="5" max="5" width="36" style="10" customWidth="1"/>
    <col min="6" max="6" width="9" style="10" customWidth="1"/>
    <col min="7" max="7" width="25.7109375" style="10" hidden="1" customWidth="1"/>
    <col min="8" max="8" width="33.7109375" style="10" hidden="1" customWidth="1"/>
    <col min="9" max="9" width="25.7109375" style="10" customWidth="1"/>
    <col min="10" max="10" width="33" style="10" customWidth="1"/>
    <col min="11" max="11" width="93" style="60" customWidth="1"/>
    <col min="12" max="20" width="10" style="10" customWidth="1"/>
    <col min="21" max="21" width="10" style="299" customWidth="1"/>
    <col min="22" max="22" width="10.5703125" style="10" hidden="1"/>
  </cols>
  <sheetData>
    <row r="1" spans="1:22" s="60" customFormat="1" ht="22.5" hidden="1" customHeight="1">
      <c r="C1" s="298"/>
      <c r="G1" s="60">
        <v>4</v>
      </c>
      <c r="I1" s="60">
        <v>4</v>
      </c>
      <c r="U1" s="233"/>
      <c r="V1" s="60" t="s">
        <v>14</v>
      </c>
    </row>
    <row r="2" spans="1:22" s="60" customFormat="1" ht="15" hidden="1" customHeight="1">
      <c r="C2" s="298"/>
      <c r="U2" s="233"/>
      <c r="V2" s="60">
        <v>0</v>
      </c>
    </row>
    <row r="3" spans="1:22" ht="22.5" hidden="1" customHeight="1">
      <c r="A3" s="10"/>
      <c r="B3" s="1393"/>
      <c r="C3" s="1394" t="s">
        <v>493</v>
      </c>
      <c r="D3" s="390" t="str">
        <f>B3&amp;".1"</f>
        <v>.1</v>
      </c>
      <c r="E3" s="391" t="s">
        <v>934</v>
      </c>
      <c r="F3" s="392" t="s">
        <v>306</v>
      </c>
      <c r="G3" s="388"/>
      <c r="H3" s="225"/>
      <c r="I3" s="388"/>
      <c r="J3" s="225"/>
      <c r="K3" s="64" t="s">
        <v>935</v>
      </c>
      <c r="V3" s="10">
        <v>0</v>
      </c>
    </row>
    <row r="4" spans="1:22" ht="15" hidden="1" customHeight="1">
      <c r="A4" s="10"/>
      <c r="B4" s="1393"/>
      <c r="C4" s="1394"/>
      <c r="D4" s="390" t="str">
        <f>B3&amp;".2"</f>
        <v>.2</v>
      </c>
      <c r="E4" s="391" t="s">
        <v>936</v>
      </c>
      <c r="F4" s="392" t="s">
        <v>306</v>
      </c>
      <c r="G4" s="946" t="s">
        <v>28</v>
      </c>
      <c r="H4" s="225"/>
      <c r="I4" s="946" t="s">
        <v>28</v>
      </c>
      <c r="J4" s="225"/>
      <c r="K4" s="64" t="s">
        <v>937</v>
      </c>
      <c r="V4" s="10">
        <v>0</v>
      </c>
    </row>
    <row r="5" spans="1:22" s="60" customFormat="1" ht="15" hidden="1" customHeight="1">
      <c r="C5" s="298"/>
      <c r="U5" s="233"/>
      <c r="V5" s="60">
        <v>0</v>
      </c>
    </row>
    <row r="6" spans="1:22" ht="22.5" hidden="1" customHeight="1">
      <c r="A6" s="10"/>
      <c r="B6" s="1393"/>
      <c r="C6" s="1394" t="s">
        <v>493</v>
      </c>
      <c r="D6" s="390" t="str">
        <f>B6&amp;".1"</f>
        <v>.1</v>
      </c>
      <c r="E6" s="391" t="s">
        <v>938</v>
      </c>
      <c r="F6" s="392" t="s">
        <v>306</v>
      </c>
      <c r="G6" s="388"/>
      <c r="H6" s="225"/>
      <c r="I6" s="388"/>
      <c r="J6" s="225"/>
      <c r="K6" s="64" t="s">
        <v>939</v>
      </c>
      <c r="V6" s="10">
        <v>0</v>
      </c>
    </row>
    <row r="7" spans="1:22" ht="15" hidden="1" customHeight="1">
      <c r="A7" s="10"/>
      <c r="B7" s="1393"/>
      <c r="C7" s="1394"/>
      <c r="D7" s="390" t="str">
        <f>B6&amp;".2"</f>
        <v>.2</v>
      </c>
      <c r="E7" s="391" t="s">
        <v>936</v>
      </c>
      <c r="F7" s="392" t="s">
        <v>306</v>
      </c>
      <c r="G7" s="946" t="s">
        <v>28</v>
      </c>
      <c r="H7" s="225"/>
      <c r="I7" s="946" t="s">
        <v>28</v>
      </c>
      <c r="J7" s="225"/>
      <c r="K7" s="64" t="s">
        <v>937</v>
      </c>
      <c r="V7" s="10">
        <v>0</v>
      </c>
    </row>
    <row r="8" spans="1:22" s="60" customFormat="1" ht="15" hidden="1" customHeight="1">
      <c r="C8" s="298"/>
      <c r="U8" s="233"/>
      <c r="V8" s="60">
        <v>0</v>
      </c>
    </row>
    <row r="9" spans="1:22" ht="22.5" hidden="1" customHeight="1">
      <c r="A9" s="10"/>
      <c r="B9" s="1393"/>
      <c r="C9" s="1394" t="s">
        <v>493</v>
      </c>
      <c r="D9" s="390" t="str">
        <f>B9&amp;".1"</f>
        <v>.1</v>
      </c>
      <c r="E9" s="391" t="s">
        <v>940</v>
      </c>
      <c r="F9" s="392" t="s">
        <v>306</v>
      </c>
      <c r="G9" s="398" t="s">
        <v>28</v>
      </c>
      <c r="H9" s="225" t="s">
        <v>28</v>
      </c>
      <c r="I9" s="398" t="s">
        <v>28</v>
      </c>
      <c r="J9" s="225" t="s">
        <v>28</v>
      </c>
      <c r="K9" s="64"/>
      <c r="V9" s="10">
        <v>0</v>
      </c>
    </row>
    <row r="10" spans="1:22" ht="15" hidden="1" customHeight="1">
      <c r="A10" s="10"/>
      <c r="B10" s="1393"/>
      <c r="C10" s="1394"/>
      <c r="D10" s="390" t="str">
        <f>B9&amp;".2"</f>
        <v>.2</v>
      </c>
      <c r="E10" s="391" t="s">
        <v>941</v>
      </c>
      <c r="F10" s="392" t="s">
        <v>306</v>
      </c>
      <c r="G10" s="940" t="s">
        <v>28</v>
      </c>
      <c r="H10" s="225" t="s">
        <v>28</v>
      </c>
      <c r="I10" s="940" t="s">
        <v>28</v>
      </c>
      <c r="J10" s="225" t="s">
        <v>28</v>
      </c>
      <c r="K10" s="64" t="s">
        <v>942</v>
      </c>
      <c r="V10" s="10">
        <v>0</v>
      </c>
    </row>
    <row r="11" spans="1:22" ht="15" hidden="1" customHeight="1">
      <c r="A11" s="10"/>
      <c r="B11" s="1393"/>
      <c r="C11" s="1394"/>
      <c r="D11" s="390" t="str">
        <f>B9&amp;".3"</f>
        <v>.3</v>
      </c>
      <c r="E11" s="391" t="s">
        <v>943</v>
      </c>
      <c r="F11" s="392" t="s">
        <v>306</v>
      </c>
      <c r="G11" s="940" t="s">
        <v>28</v>
      </c>
      <c r="H11" s="225" t="s">
        <v>28</v>
      </c>
      <c r="I11" s="940" t="s">
        <v>28</v>
      </c>
      <c r="J11" s="225" t="s">
        <v>28</v>
      </c>
      <c r="K11" s="64" t="s">
        <v>944</v>
      </c>
      <c r="V11" s="10">
        <v>0</v>
      </c>
    </row>
    <row r="12" spans="1:22" s="60" customFormat="1" ht="15" hidden="1" customHeight="1">
      <c r="C12" s="298"/>
      <c r="U12" s="233"/>
      <c r="V12" s="60">
        <v>0</v>
      </c>
    </row>
    <row r="13" spans="1:22" ht="33.75" hidden="1" customHeight="1">
      <c r="A13" s="10"/>
      <c r="B13" s="1393"/>
      <c r="C13" s="1394" t="s">
        <v>493</v>
      </c>
      <c r="D13" s="390" t="str">
        <f>B13&amp;".1"</f>
        <v>.1</v>
      </c>
      <c r="E13" s="391" t="s">
        <v>945</v>
      </c>
      <c r="F13" s="392" t="s">
        <v>306</v>
      </c>
      <c r="G13" s="398" t="s">
        <v>28</v>
      </c>
      <c r="H13" s="225" t="s">
        <v>28</v>
      </c>
      <c r="I13" s="398" t="s">
        <v>28</v>
      </c>
      <c r="J13" s="225" t="s">
        <v>28</v>
      </c>
      <c r="K13" s="64" t="s">
        <v>946</v>
      </c>
      <c r="V13" s="10">
        <v>0</v>
      </c>
    </row>
    <row r="14" spans="1:22" ht="15" hidden="1" customHeight="1">
      <c r="B14" s="1393"/>
      <c r="C14" s="1394"/>
      <c r="D14" s="390" t="str">
        <f>B13&amp;".2"</f>
        <v>.2</v>
      </c>
      <c r="E14" s="391" t="s">
        <v>947</v>
      </c>
      <c r="F14" s="392" t="s">
        <v>306</v>
      </c>
      <c r="G14" s="940" t="s">
        <v>28</v>
      </c>
      <c r="H14" s="225" t="s">
        <v>28</v>
      </c>
      <c r="I14" s="940" t="s">
        <v>28</v>
      </c>
      <c r="J14" s="225" t="s">
        <v>28</v>
      </c>
      <c r="K14" s="64" t="s">
        <v>948</v>
      </c>
      <c r="V14" s="10">
        <v>0</v>
      </c>
    </row>
    <row r="15" spans="1:22" s="60" customFormat="1" ht="15" hidden="1" customHeight="1">
      <c r="C15" s="298"/>
      <c r="U15" s="233"/>
      <c r="V15" s="60">
        <v>0</v>
      </c>
    </row>
    <row r="16" spans="1:22" s="60" customFormat="1" ht="15" hidden="1" customHeight="1">
      <c r="C16" s="298"/>
      <c r="U16" s="233"/>
      <c r="V16" s="60">
        <v>0</v>
      </c>
    </row>
    <row r="17" spans="1:22" s="60" customFormat="1" ht="15" hidden="1" customHeight="1">
      <c r="C17" s="298"/>
      <c r="U17" s="233"/>
      <c r="V17" s="60">
        <v>0</v>
      </c>
    </row>
    <row r="18" spans="1:22" s="60" customFormat="1" ht="15" hidden="1" customHeight="1">
      <c r="C18" s="298"/>
      <c r="U18" s="233"/>
      <c r="V18" s="60">
        <v>0</v>
      </c>
    </row>
    <row r="19" spans="1:22" s="60" customFormat="1" ht="15" hidden="1" customHeight="1">
      <c r="C19" s="298"/>
      <c r="U19" s="233"/>
      <c r="V19" s="60">
        <v>0</v>
      </c>
    </row>
    <row r="20" spans="1:22" s="60" customFormat="1" ht="15" hidden="1" customHeight="1">
      <c r="C20" s="298"/>
      <c r="U20" s="233"/>
      <c r="V20" s="60">
        <v>0</v>
      </c>
    </row>
    <row r="21" spans="1:22" ht="15.75" customHeight="1">
      <c r="V21" s="10">
        <v>15</v>
      </c>
    </row>
    <row r="22" spans="1:22" ht="23.25" customHeight="1">
      <c r="D22" s="126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64"/>
      <c r="F22" s="1264"/>
      <c r="G22" s="1264"/>
      <c r="H22" s="1264"/>
      <c r="I22" s="1264"/>
      <c r="J22" s="339"/>
      <c r="V22" s="10">
        <v>22</v>
      </c>
    </row>
    <row r="23" spans="1:22" ht="15.75" customHeight="1">
      <c r="D23" s="1236" t="str">
        <f>IF(org=0,"Не определено",org)</f>
        <v>Общество с ограниченной ответственностью "Березовский рудник"</v>
      </c>
      <c r="E23" s="1236"/>
      <c r="F23" s="1236"/>
      <c r="G23" s="1236"/>
      <c r="H23" s="1236"/>
      <c r="I23" s="1236"/>
      <c r="J23" s="339"/>
      <c r="V23" s="10">
        <v>15</v>
      </c>
    </row>
    <row r="24" spans="1:22" ht="15.75" customHeight="1">
      <c r="G24" s="60">
        <v>22</v>
      </c>
      <c r="H24" s="432"/>
      <c r="I24" s="60">
        <v>22</v>
      </c>
      <c r="J24" s="432"/>
      <c r="V24" s="10">
        <v>15</v>
      </c>
    </row>
    <row r="25" spans="1:22" s="10" customFormat="1" ht="1.1499999999999999" customHeight="1">
      <c r="A25" s="7"/>
      <c r="C25" s="84"/>
      <c r="G25" s="60"/>
      <c r="H25" s="432"/>
      <c r="I25" s="60" t="s">
        <v>115</v>
      </c>
      <c r="J25" s="432"/>
      <c r="K25" s="60"/>
      <c r="U25" s="299"/>
      <c r="V25" s="10">
        <v>1</v>
      </c>
    </row>
    <row r="26" spans="1:22" ht="15.75" customHeight="1">
      <c r="D26" s="406"/>
      <c r="E26" s="1370" t="s">
        <v>103</v>
      </c>
      <c r="F26" s="1371"/>
      <c r="G26" s="1395" t="str">
        <f>IF(G25="","",INDEX(DIFFERENTIATION_UNMERGE_VD,MATCH(G25,DIFFERENTIATION_ID_DIFF,0)))</f>
        <v/>
      </c>
      <c r="H26" s="1396"/>
      <c r="I26" s="1395">
        <f>IF(I25="","",INDEX(DIFFERENTIATION_UNMERGE_VD,MATCH(I25,DIFFERENTIATION_ID_DIFF,0)))</f>
        <v>0</v>
      </c>
      <c r="J26" s="1396"/>
      <c r="K26" s="1216" t="s">
        <v>301</v>
      </c>
      <c r="V26" s="10">
        <v>15</v>
      </c>
    </row>
    <row r="27" spans="1:22" s="10" customFormat="1" ht="15.75" customHeight="1">
      <c r="A27" s="7"/>
      <c r="C27" s="84"/>
      <c r="D27" s="406"/>
      <c r="E27" s="1370" t="s">
        <v>563</v>
      </c>
      <c r="F27" s="1371"/>
      <c r="G27" s="1395" t="str">
        <f>IF(G25="","",INDEX(DIFFERENTIATION_UNMERGE_AREA,MATCH(G25,DIFFERENTIATION_ID_DIFF,0)))</f>
        <v/>
      </c>
      <c r="H27" s="1396"/>
      <c r="I27" s="1395" t="str">
        <f>IF(I25="","",INDEX(DIFFERENTIATION_UNMERGE_AREA,MATCH(I25,DIFFERENTIATION_ID_DIFF,0)))</f>
        <v/>
      </c>
      <c r="J27" s="1396"/>
      <c r="K27" s="1220"/>
      <c r="U27" s="299"/>
      <c r="V27" s="10">
        <v>15</v>
      </c>
    </row>
    <row r="28" spans="1:22" s="10" customFormat="1" ht="15.75" customHeight="1">
      <c r="A28" s="7"/>
      <c r="C28" s="84"/>
      <c r="D28" s="406"/>
      <c r="E28" s="1370" t="s">
        <v>564</v>
      </c>
      <c r="F28" s="1371"/>
      <c r="G28" s="1395" t="str">
        <f>IF(G25="","",INDEX(DIFFERENTIATION_UNMERGE_SYSTEM,MATCH(G25,DIFFERENTIATION_ID_DIFF,0)))</f>
        <v/>
      </c>
      <c r="H28" s="1396"/>
      <c r="I28" s="1395" t="str">
        <f>IF(I25="","",INDEX(DIFFERENTIATION_UNMERGE_SYSTEM,MATCH(I25,DIFFERENTIATION_ID_DIFF,0)))</f>
        <v>без дифференциации</v>
      </c>
      <c r="J28" s="1396"/>
      <c r="K28" s="1220"/>
      <c r="U28" s="299"/>
      <c r="V28" s="10">
        <v>15</v>
      </c>
    </row>
    <row r="29" spans="1:22" s="10" customFormat="1" ht="15.75" customHeight="1">
      <c r="A29" s="7"/>
      <c r="C29" s="84"/>
      <c r="D29" s="1372" t="s">
        <v>300</v>
      </c>
      <c r="E29" s="1373"/>
      <c r="F29" s="1373"/>
      <c r="G29" s="509"/>
      <c r="H29" s="509"/>
      <c r="I29" s="509"/>
      <c r="J29" s="510"/>
      <c r="K29" s="1220"/>
      <c r="U29" s="299"/>
      <c r="V29" s="10">
        <v>15</v>
      </c>
    </row>
    <row r="30" spans="1:22" ht="35.65" customHeight="1">
      <c r="D30" s="40" t="s">
        <v>86</v>
      </c>
      <c r="E30" s="40" t="s">
        <v>302</v>
      </c>
      <c r="F30" s="40" t="s">
        <v>565</v>
      </c>
      <c r="G30" s="386" t="s">
        <v>303</v>
      </c>
      <c r="H30" s="40" t="s">
        <v>390</v>
      </c>
      <c r="I30" s="386" t="s">
        <v>303</v>
      </c>
      <c r="J30" s="40" t="s">
        <v>390</v>
      </c>
      <c r="K30" s="1223"/>
      <c r="V30" s="10">
        <v>34</v>
      </c>
    </row>
    <row r="31" spans="1:22" ht="15" hidden="1" customHeight="1">
      <c r="D31" s="341"/>
      <c r="E31" s="341"/>
      <c r="F31" s="341"/>
      <c r="G31" s="84"/>
      <c r="H31" s="84"/>
      <c r="I31" s="84"/>
      <c r="J31" s="84"/>
      <c r="K31" s="64"/>
      <c r="V31" s="10">
        <v>0</v>
      </c>
    </row>
    <row r="32" spans="1:22" ht="24" customHeight="1">
      <c r="A32" s="10"/>
      <c r="B32" s="10" t="s">
        <v>949</v>
      </c>
      <c r="C32" s="74"/>
      <c r="D32" s="393">
        <v>1</v>
      </c>
      <c r="E32" s="394" t="s">
        <v>950</v>
      </c>
      <c r="F32" s="392" t="s">
        <v>306</v>
      </c>
      <c r="G32" s="392" t="s">
        <v>306</v>
      </c>
      <c r="H32" s="392" t="s">
        <v>306</v>
      </c>
      <c r="I32" s="392" t="s">
        <v>306</v>
      </c>
      <c r="J32" s="392" t="s">
        <v>306</v>
      </c>
      <c r="K32" s="64"/>
      <c r="V32" s="10">
        <v>23</v>
      </c>
    </row>
    <row r="33" spans="1:22" ht="11.45" customHeight="1">
      <c r="A33" s="10"/>
      <c r="C33" s="10"/>
      <c r="D33" s="39"/>
      <c r="E33" s="107" t="s">
        <v>585</v>
      </c>
      <c r="F33" s="331"/>
      <c r="G33" s="331"/>
      <c r="H33" s="331"/>
      <c r="I33" s="331"/>
      <c r="J33" s="331"/>
      <c r="K33" s="332"/>
      <c r="U33" s="10"/>
      <c r="V33" s="10">
        <v>11</v>
      </c>
    </row>
    <row r="34" spans="1:22" ht="24" customHeight="1">
      <c r="A34" s="10"/>
      <c r="B34" s="339" t="s">
        <v>635</v>
      </c>
      <c r="C34" s="74"/>
      <c r="D34" s="393">
        <v>2</v>
      </c>
      <c r="E34" s="394" t="s">
        <v>951</v>
      </c>
      <c r="F34" s="392" t="s">
        <v>306</v>
      </c>
      <c r="G34" s="392" t="s">
        <v>306</v>
      </c>
      <c r="H34" s="392" t="s">
        <v>306</v>
      </c>
      <c r="I34" s="392"/>
      <c r="J34" s="392"/>
      <c r="K34" s="64"/>
      <c r="V34" s="10">
        <v>23</v>
      </c>
    </row>
    <row r="35" spans="1:22" ht="11.45" customHeight="1">
      <c r="A35" s="10"/>
      <c r="C35" s="10"/>
      <c r="D35" s="39"/>
      <c r="E35" s="107" t="s">
        <v>952</v>
      </c>
      <c r="F35" s="331"/>
      <c r="G35" s="395"/>
      <c r="H35" s="331"/>
      <c r="I35" s="395"/>
      <c r="J35" s="331"/>
      <c r="K35" s="332"/>
      <c r="U35" s="10"/>
      <c r="V35" s="10">
        <v>11</v>
      </c>
    </row>
    <row r="36" spans="1:22" ht="71.25" customHeight="1">
      <c r="A36" s="10"/>
      <c r="B36" s="10" t="s">
        <v>953</v>
      </c>
      <c r="C36" s="74"/>
      <c r="D36" s="393">
        <v>3</v>
      </c>
      <c r="E36" s="394" t="s">
        <v>954</v>
      </c>
      <c r="F36" s="396" t="s">
        <v>306</v>
      </c>
      <c r="G36" s="294" t="s">
        <v>955</v>
      </c>
      <c r="H36" s="392" t="s">
        <v>306</v>
      </c>
      <c r="I36" s="294" t="s">
        <v>955</v>
      </c>
      <c r="J36" s="392" t="s">
        <v>306</v>
      </c>
      <c r="K36" s="64" t="s">
        <v>956</v>
      </c>
      <c r="V36" s="10">
        <v>68</v>
      </c>
    </row>
    <row r="37" spans="1:22" ht="11.45" customHeight="1">
      <c r="A37" s="10"/>
      <c r="C37" s="10"/>
      <c r="D37" s="39"/>
      <c r="E37" s="107" t="s">
        <v>957</v>
      </c>
      <c r="F37" s="331"/>
      <c r="G37" s="395"/>
      <c r="H37" s="395"/>
      <c r="I37" s="395"/>
      <c r="J37" s="395"/>
      <c r="K37" s="332"/>
      <c r="U37" s="10"/>
      <c r="V37" s="10">
        <v>11</v>
      </c>
    </row>
    <row r="38" spans="1:22" ht="71.25" customHeight="1">
      <c r="A38" s="10"/>
      <c r="B38" s="10" t="s">
        <v>958</v>
      </c>
      <c r="C38" s="74"/>
      <c r="D38" s="393">
        <v>4</v>
      </c>
      <c r="E38" s="394" t="s">
        <v>959</v>
      </c>
      <c r="F38" s="396" t="s">
        <v>306</v>
      </c>
      <c r="G38" s="294" t="s">
        <v>955</v>
      </c>
      <c r="H38" s="40" t="s">
        <v>306</v>
      </c>
      <c r="I38" s="294" t="s">
        <v>955</v>
      </c>
      <c r="J38" s="40" t="s">
        <v>306</v>
      </c>
      <c r="K38" s="382" t="s">
        <v>960</v>
      </c>
      <c r="V38" s="10">
        <v>68</v>
      </c>
    </row>
    <row r="39" spans="1:22" ht="11.45" customHeight="1">
      <c r="A39" s="10"/>
      <c r="C39" s="10"/>
      <c r="D39" s="39"/>
      <c r="E39" s="107" t="s">
        <v>961</v>
      </c>
      <c r="F39" s="331"/>
      <c r="G39" s="331"/>
      <c r="H39" s="397"/>
      <c r="I39" s="331"/>
      <c r="J39" s="397"/>
      <c r="K39" s="332"/>
      <c r="U39" s="10"/>
      <c r="V39" s="10">
        <v>11</v>
      </c>
    </row>
    <row r="40" spans="1:22" ht="22.5" hidden="1" customHeight="1">
      <c r="A40" s="7" t="s">
        <v>80</v>
      </c>
      <c r="B40" s="10">
        <v>0</v>
      </c>
      <c r="C40" s="84">
        <v>4</v>
      </c>
      <c r="D40" s="10">
        <v>6</v>
      </c>
      <c r="E40" s="10">
        <v>36</v>
      </c>
      <c r="F40" s="10">
        <v>9</v>
      </c>
      <c r="G40" s="10">
        <v>0</v>
      </c>
      <c r="H40" s="10">
        <v>0</v>
      </c>
      <c r="I40" s="10">
        <v>25</v>
      </c>
      <c r="J40" s="10">
        <v>33</v>
      </c>
      <c r="K40" s="60">
        <v>93</v>
      </c>
      <c r="L40" s="10">
        <v>10</v>
      </c>
      <c r="M40" s="10">
        <v>10</v>
      </c>
      <c r="N40" s="10">
        <v>10</v>
      </c>
      <c r="O40" s="10">
        <v>10</v>
      </c>
      <c r="P40" s="10">
        <v>10</v>
      </c>
      <c r="Q40" s="10">
        <v>10</v>
      </c>
      <c r="R40" s="10">
        <v>10</v>
      </c>
      <c r="S40" s="10">
        <v>10</v>
      </c>
      <c r="T40" s="10">
        <v>10</v>
      </c>
      <c r="U40" s="299">
        <v>10</v>
      </c>
      <c r="V40" s="1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300" hidden="1" customWidth="1"/>
    <col min="4" max="4" width="6.7109375" style="60" hidden="1" customWidth="1"/>
    <col min="5" max="5" width="3" style="10" customWidth="1"/>
    <col min="6" max="6" width="6" style="10" customWidth="1"/>
    <col min="7" max="7" width="37" style="10" customWidth="1"/>
    <col min="8" max="8" width="16" style="10" customWidth="1"/>
    <col min="9" max="10" width="19" style="10" customWidth="1"/>
    <col min="11" max="11" width="24" style="10" customWidth="1"/>
    <col min="12" max="13" width="25" style="10" customWidth="1"/>
    <col min="14" max="16" width="17" style="10" customWidth="1"/>
    <col min="17" max="24" width="19" style="10" customWidth="1"/>
    <col min="25" max="25" width="7" style="10" customWidth="1"/>
    <col min="26" max="26" width="3" style="10" customWidth="1"/>
    <col min="27" max="27" width="6" style="10" customWidth="1"/>
    <col min="28" max="28" width="34" style="10" customWidth="1"/>
    <col min="29" max="30" width="8" style="10" customWidth="1"/>
    <col min="31" max="31" width="9.140625" style="10" hidden="1"/>
  </cols>
  <sheetData>
    <row r="1" spans="1:31" s="60" customFormat="1" ht="10.5" hidden="1" customHeight="1">
      <c r="A1" s="300"/>
      <c r="B1" s="300"/>
      <c r="C1" s="300"/>
      <c r="AE1" s="60" t="s">
        <v>14</v>
      </c>
    </row>
    <row r="2" spans="1:31" ht="10.5" hidden="1" customHeight="1">
      <c r="AE2" s="10">
        <v>0</v>
      </c>
    </row>
    <row r="3" spans="1:31" s="7" customFormat="1" ht="10.5" hidden="1" customHeight="1">
      <c r="A3" s="300"/>
      <c r="B3" s="300"/>
      <c r="C3" s="300"/>
      <c r="D3" s="60"/>
      <c r="G3" s="7" t="s">
        <v>962</v>
      </c>
      <c r="AE3" s="7">
        <v>0</v>
      </c>
    </row>
    <row r="4" spans="1:31" ht="3" customHeight="1">
      <c r="AE4" s="10">
        <v>3</v>
      </c>
    </row>
    <row r="5" spans="1:31" ht="27.4" customHeight="1">
      <c r="F5" s="1264" t="str">
        <f>IP_NAME_FORM</f>
        <v>Форма 7. Информация об инвестиционных программах организации холодного водоснабжения и отчетах об их исполнении</v>
      </c>
      <c r="G5" s="1264"/>
      <c r="H5" s="1264"/>
      <c r="I5" s="1264"/>
      <c r="J5" s="1264"/>
      <c r="K5" s="1264"/>
      <c r="M5" s="16"/>
      <c r="AE5" s="10">
        <v>26</v>
      </c>
    </row>
    <row r="6" spans="1:31" s="10" customFormat="1" ht="16.899999999999999" customHeight="1">
      <c r="A6" s="300"/>
      <c r="B6" s="300"/>
      <c r="C6" s="300"/>
      <c r="D6" s="60"/>
      <c r="F6" s="1236" t="str">
        <f>IF(org=0,"Не определено",org)</f>
        <v>Общество с ограниченной ответственностью "Березовский рудник"</v>
      </c>
      <c r="G6" s="1236"/>
      <c r="H6" s="1236"/>
      <c r="I6" s="1236"/>
      <c r="J6" s="1236"/>
      <c r="K6" s="1236"/>
      <c r="M6" s="16"/>
      <c r="AE6" s="10">
        <v>16</v>
      </c>
    </row>
    <row r="7" spans="1:31" ht="10.5" customHeight="1">
      <c r="AE7" s="10">
        <v>10</v>
      </c>
    </row>
    <row r="8" spans="1:31" ht="10.5" customHeight="1">
      <c r="F8" s="1128" t="s">
        <v>300</v>
      </c>
      <c r="G8" s="1133"/>
      <c r="H8" s="1133"/>
      <c r="I8" s="1133"/>
      <c r="J8" s="1133"/>
      <c r="K8" s="1133"/>
      <c r="L8" s="1133"/>
      <c r="M8" s="1133"/>
      <c r="N8" s="1133"/>
      <c r="O8" s="1133"/>
      <c r="P8" s="1133"/>
      <c r="Q8" s="1133"/>
      <c r="R8" s="1133"/>
      <c r="S8" s="1133"/>
      <c r="T8" s="1133"/>
      <c r="U8" s="1133"/>
      <c r="V8" s="1133"/>
      <c r="W8" s="1133"/>
      <c r="X8" s="1133"/>
      <c r="Y8" s="1133"/>
      <c r="Z8" s="1133"/>
      <c r="AA8" s="1133"/>
      <c r="AB8" s="1127"/>
      <c r="AE8" s="10">
        <v>10</v>
      </c>
    </row>
    <row r="9" spans="1:31" ht="43.15" customHeight="1">
      <c r="A9" s="523"/>
      <c r="B9" s="523"/>
      <c r="C9" s="523"/>
      <c r="F9" s="1146" t="s">
        <v>86</v>
      </c>
      <c r="G9" s="1146" t="s">
        <v>962</v>
      </c>
      <c r="H9" s="1216" t="s">
        <v>963</v>
      </c>
      <c r="I9" s="1146" t="s">
        <v>964</v>
      </c>
      <c r="J9" s="1146" t="s">
        <v>965</v>
      </c>
      <c r="K9" s="1146" t="s">
        <v>966</v>
      </c>
      <c r="L9" s="1146" t="s">
        <v>967</v>
      </c>
      <c r="M9" s="1146" t="s">
        <v>968</v>
      </c>
      <c r="N9" s="1244" t="s">
        <v>969</v>
      </c>
      <c r="O9" s="1244"/>
      <c r="P9" s="1244"/>
      <c r="Q9" s="1297" t="s">
        <v>970</v>
      </c>
      <c r="R9" s="1298"/>
      <c r="S9" s="1298"/>
      <c r="T9" s="1299"/>
      <c r="U9" s="1297" t="s">
        <v>971</v>
      </c>
      <c r="V9" s="1298"/>
      <c r="W9" s="1298"/>
      <c r="X9" s="1299"/>
      <c r="Y9" s="1128" t="s">
        <v>972</v>
      </c>
      <c r="Z9" s="1133"/>
      <c r="AA9" s="1133"/>
      <c r="AB9" s="1127"/>
      <c r="AE9" s="10">
        <v>41</v>
      </c>
    </row>
    <row r="10" spans="1:31" ht="43.15" customHeight="1">
      <c r="A10" s="523"/>
      <c r="B10" s="523"/>
      <c r="C10" s="523"/>
      <c r="F10" s="1216"/>
      <c r="G10" s="1216"/>
      <c r="H10" s="1269"/>
      <c r="I10" s="1216"/>
      <c r="J10" s="1216"/>
      <c r="K10" s="1216"/>
      <c r="L10" s="1216"/>
      <c r="M10" s="1216"/>
      <c r="N10" s="521" t="s">
        <v>973</v>
      </c>
      <c r="O10" s="521" t="s">
        <v>974</v>
      </c>
      <c r="P10" s="522" t="s">
        <v>975</v>
      </c>
      <c r="Q10" s="521" t="s">
        <v>87</v>
      </c>
      <c r="R10" s="521" t="s">
        <v>976</v>
      </c>
      <c r="S10" s="521" t="s">
        <v>977</v>
      </c>
      <c r="T10" s="525" t="s">
        <v>978</v>
      </c>
      <c r="U10" s="521" t="s">
        <v>87</v>
      </c>
      <c r="V10" s="521" t="s">
        <v>979</v>
      </c>
      <c r="W10" s="521" t="s">
        <v>977</v>
      </c>
      <c r="X10" s="525" t="s">
        <v>978</v>
      </c>
      <c r="Y10" s="169" t="s">
        <v>980</v>
      </c>
      <c r="Z10" s="1128" t="s">
        <v>86</v>
      </c>
      <c r="AA10" s="1127"/>
      <c r="AB10" s="40" t="s">
        <v>981</v>
      </c>
      <c r="AE10" s="10">
        <v>41</v>
      </c>
    </row>
    <row r="11" spans="1:31" s="65" customFormat="1" ht="5.25" hidden="1" customHeight="1">
      <c r="A11" s="310"/>
      <c r="B11" s="310"/>
      <c r="C11" s="310"/>
      <c r="E11" s="119"/>
      <c r="F11" s="1208" t="s">
        <v>376</v>
      </c>
      <c r="G11" s="1400"/>
      <c r="H11" s="1397"/>
      <c r="I11" s="1397"/>
      <c r="J11" s="1397"/>
      <c r="K11" s="1399"/>
      <c r="L11" s="1399"/>
      <c r="M11" s="1399"/>
      <c r="N11" s="1397"/>
      <c r="O11" s="1397"/>
      <c r="P11" s="1146"/>
      <c r="Q11" s="1226"/>
      <c r="R11" s="1226"/>
      <c r="S11" s="1226"/>
      <c r="T11" s="1397"/>
      <c r="U11" s="1226"/>
      <c r="V11" s="1226"/>
      <c r="W11" s="1226"/>
      <c r="X11" s="1397"/>
      <c r="Y11" s="1157"/>
      <c r="Z11" s="1157"/>
      <c r="AA11" s="1157"/>
      <c r="AB11" s="1157"/>
      <c r="AD11" s="65" t="s">
        <v>982</v>
      </c>
      <c r="AE11" s="65">
        <v>0</v>
      </c>
    </row>
    <row r="12" spans="1:31" s="65" customFormat="1" ht="5.25" hidden="1" customHeight="1">
      <c r="A12" s="310"/>
      <c r="B12" s="310"/>
      <c r="C12" s="310"/>
      <c r="F12" s="1208"/>
      <c r="G12" s="1400"/>
      <c r="H12" s="1397"/>
      <c r="I12" s="1397"/>
      <c r="J12" s="1397"/>
      <c r="K12" s="1399"/>
      <c r="L12" s="1399"/>
      <c r="M12" s="1399"/>
      <c r="N12" s="1397"/>
      <c r="O12" s="1397"/>
      <c r="P12" s="1146"/>
      <c r="Q12" s="1226"/>
      <c r="R12" s="1226"/>
      <c r="S12" s="1226"/>
      <c r="T12" s="1397"/>
      <c r="U12" s="1226"/>
      <c r="V12" s="1226"/>
      <c r="W12" s="1226"/>
      <c r="X12" s="1397"/>
      <c r="Y12" s="1398"/>
      <c r="Z12" s="1398"/>
      <c r="AA12" s="1398"/>
      <c r="AB12" s="1398"/>
      <c r="AE12" s="65">
        <v>0</v>
      </c>
    </row>
    <row r="13" spans="1:31" ht="10.5" customHeight="1">
      <c r="F13" s="166"/>
      <c r="G13" s="107" t="s">
        <v>983</v>
      </c>
      <c r="H13" s="107"/>
      <c r="I13" s="331"/>
      <c r="J13" s="331"/>
      <c r="K13" s="331"/>
      <c r="L13" s="331"/>
      <c r="M13" s="331"/>
      <c r="N13" s="331"/>
      <c r="O13" s="331"/>
      <c r="P13" s="331"/>
      <c r="Q13" s="331"/>
      <c r="R13" s="331"/>
      <c r="S13" s="331"/>
      <c r="T13" s="331"/>
      <c r="U13" s="331"/>
      <c r="V13" s="331"/>
      <c r="W13" s="331"/>
      <c r="X13" s="331"/>
      <c r="Y13" s="331"/>
      <c r="Z13" s="397"/>
      <c r="AA13" s="397"/>
      <c r="AB13" s="526"/>
      <c r="AE13" s="10">
        <v>10</v>
      </c>
    </row>
    <row r="14" spans="1:31" ht="10.5" customHeight="1">
      <c r="AE14" s="10">
        <v>10</v>
      </c>
    </row>
    <row r="15" spans="1:31" s="65" customFormat="1" ht="10.5" customHeight="1">
      <c r="A15" s="310"/>
      <c r="B15" s="310"/>
      <c r="C15" s="310"/>
      <c r="H15" s="65">
        <f>IFERROR(MATCH("нет",IP_MAIN_DIFFERENTIATION_EVENTS_FLAG,0),0)</f>
        <v>0</v>
      </c>
      <c r="AE15" s="65">
        <v>10</v>
      </c>
    </row>
    <row r="16" spans="1:31" ht="10.5" hidden="1" customHeight="1">
      <c r="A16" s="300" t="s">
        <v>80</v>
      </c>
      <c r="B16" s="300">
        <v>0</v>
      </c>
      <c r="C16" s="300">
        <v>0</v>
      </c>
      <c r="D16" s="60">
        <v>0</v>
      </c>
      <c r="E16" s="10">
        <v>3</v>
      </c>
      <c r="F16" s="10">
        <v>6</v>
      </c>
      <c r="G16" s="10">
        <v>37</v>
      </c>
      <c r="H16" s="10">
        <v>16</v>
      </c>
      <c r="I16" s="10">
        <v>19</v>
      </c>
      <c r="J16" s="10">
        <v>19</v>
      </c>
      <c r="K16" s="10">
        <v>24</v>
      </c>
      <c r="L16" s="10">
        <v>25</v>
      </c>
      <c r="M16" s="10">
        <v>25</v>
      </c>
      <c r="N16" s="10">
        <v>17</v>
      </c>
      <c r="O16" s="10">
        <v>17</v>
      </c>
      <c r="P16" s="10">
        <v>17</v>
      </c>
      <c r="Q16" s="10">
        <v>19</v>
      </c>
      <c r="R16" s="10">
        <v>19</v>
      </c>
      <c r="S16" s="10">
        <v>19</v>
      </c>
      <c r="T16" s="10">
        <v>19</v>
      </c>
      <c r="U16" s="10">
        <v>19</v>
      </c>
      <c r="V16" s="10">
        <v>19</v>
      </c>
      <c r="W16" s="10">
        <v>19</v>
      </c>
      <c r="X16" s="10">
        <v>19</v>
      </c>
      <c r="Y16" s="10">
        <v>7</v>
      </c>
      <c r="Z16" s="10">
        <v>3</v>
      </c>
      <c r="AA16" s="10">
        <v>6</v>
      </c>
      <c r="AB16" s="10">
        <v>34</v>
      </c>
      <c r="AC16" s="10">
        <v>8</v>
      </c>
      <c r="AD16" s="10">
        <v>8</v>
      </c>
      <c r="AE16" s="10">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300" hidden="1" customWidth="1"/>
    <col min="4" max="4" width="4.140625" style="60" hidden="1" customWidth="1"/>
    <col min="5" max="5" width="3" style="10" customWidth="1"/>
    <col min="6" max="6" width="14" style="10" customWidth="1"/>
    <col min="7" max="7" width="3" style="10" customWidth="1"/>
    <col min="8" max="8" width="7" style="10" customWidth="1"/>
    <col min="9" max="10" width="16" style="10" customWidth="1"/>
    <col min="11" max="11" width="25" style="10" customWidth="1"/>
    <col min="12" max="12" width="7" style="10" customWidth="1"/>
    <col min="13" max="13" width="15" style="10" customWidth="1"/>
    <col min="14" max="14" width="3" style="10" customWidth="1"/>
    <col min="15" max="15" width="4" style="10" customWidth="1"/>
    <col min="16" max="16" width="8" style="10" customWidth="1"/>
    <col min="17" max="17" width="21" style="10" customWidth="1"/>
    <col min="18" max="18" width="14" style="10" customWidth="1"/>
    <col min="19" max="20" width="17" style="10" customWidth="1"/>
    <col min="21" max="21" width="9" style="10" customWidth="1"/>
    <col min="22" max="22" width="12" style="10" customWidth="1"/>
    <col min="23" max="23" width="9" style="10" customWidth="1"/>
    <col min="24" max="24" width="21" style="10" customWidth="1"/>
    <col min="25" max="25" width="12" style="10" customWidth="1"/>
    <col min="26" max="26" width="3" style="10" customWidth="1"/>
    <col min="27" max="27" width="6" style="10" customWidth="1"/>
    <col min="28" max="28" width="38" style="10" customWidth="1"/>
    <col min="29" max="29" width="15" style="10" customWidth="1"/>
    <col min="30" max="30" width="37.5703125" style="10" hidden="1" customWidth="1"/>
    <col min="31" max="31" width="15.7109375" style="10" hidden="1" customWidth="1"/>
    <col min="32" max="34" width="16" style="10" customWidth="1"/>
    <col min="35" max="37" width="16.7109375" style="10" hidden="1" customWidth="1"/>
    <col min="38" max="58" width="8" style="10" customWidth="1"/>
    <col min="59" max="59" width="9.140625" style="10" hidden="1"/>
  </cols>
  <sheetData>
    <row r="1" spans="1:59" s="60" customFormat="1" ht="10.5" hidden="1" customHeight="1">
      <c r="A1" s="300"/>
      <c r="B1" s="300"/>
      <c r="C1" s="300"/>
      <c r="BG1" s="60" t="s">
        <v>14</v>
      </c>
    </row>
    <row r="2" spans="1:59" ht="10.5" hidden="1" customHeight="1">
      <c r="BG2" s="10">
        <v>0</v>
      </c>
    </row>
    <row r="3" spans="1:59" s="7" customFormat="1" ht="10.5" hidden="1" customHeight="1">
      <c r="A3" s="300"/>
      <c r="B3" s="300"/>
      <c r="C3" s="300"/>
      <c r="D3" s="60"/>
      <c r="BG3" s="7">
        <v>0</v>
      </c>
    </row>
    <row r="4" spans="1:59" ht="3" customHeight="1">
      <c r="BG4" s="10">
        <v>3</v>
      </c>
    </row>
    <row r="5" spans="1:59" ht="27.4" customHeight="1">
      <c r="F5" s="1264" t="str">
        <f>IP_NAME_FORM</f>
        <v>Форма 7. Информация об инвестиционных программах организации холодного водоснабжения и отчетах об их исполнении</v>
      </c>
      <c r="G5" s="1264"/>
      <c r="H5" s="1264"/>
      <c r="I5" s="1264"/>
      <c r="J5" s="1264"/>
      <c r="K5" s="1264"/>
      <c r="L5" s="664"/>
      <c r="M5" s="664"/>
      <c r="BG5" s="10">
        <v>26</v>
      </c>
    </row>
    <row r="6" spans="1:59" ht="10.5" customHeight="1">
      <c r="F6" s="1236" t="str">
        <f>IF(org=0,"Не определено",org)</f>
        <v>Общество с ограниченной ответственностью "Березовский рудник"</v>
      </c>
      <c r="G6" s="1236"/>
      <c r="H6" s="1236"/>
      <c r="I6" s="1236"/>
      <c r="J6" s="1236"/>
      <c r="K6" s="1236"/>
      <c r="L6" s="664"/>
      <c r="M6" s="664"/>
      <c r="BG6" s="10">
        <v>10</v>
      </c>
    </row>
    <row r="7" spans="1:59" ht="11.45" customHeight="1">
      <c r="E7" s="9"/>
      <c r="F7" s="527"/>
      <c r="G7" s="527"/>
      <c r="H7" s="527"/>
      <c r="I7" s="527"/>
      <c r="J7" s="527"/>
      <c r="K7" s="529"/>
      <c r="L7" s="529"/>
      <c r="M7" s="529"/>
      <c r="N7" s="527"/>
      <c r="O7" s="527"/>
      <c r="P7" s="527"/>
      <c r="Q7" s="529"/>
      <c r="R7" s="527"/>
      <c r="S7" s="527"/>
      <c r="T7" s="527"/>
      <c r="U7" s="527"/>
      <c r="V7" s="527"/>
      <c r="W7" s="527"/>
      <c r="X7" s="527"/>
      <c r="Y7" s="527"/>
      <c r="Z7" s="527"/>
      <c r="AA7" s="527"/>
      <c r="AB7" s="527"/>
      <c r="AC7" s="528"/>
      <c r="AD7" s="528"/>
      <c r="AE7" s="528"/>
      <c r="AF7" s="527"/>
      <c r="AG7" s="527"/>
      <c r="AH7" s="527"/>
      <c r="AI7" s="527"/>
      <c r="AJ7" s="527"/>
      <c r="AK7" s="527"/>
      <c r="AL7" s="60"/>
      <c r="AM7" s="60"/>
      <c r="AN7" s="60"/>
      <c r="AO7" s="33"/>
      <c r="AP7" s="33"/>
      <c r="AQ7" s="33"/>
      <c r="AR7" s="33"/>
      <c r="AS7" s="33"/>
      <c r="AT7" s="33"/>
      <c r="AU7" s="33"/>
      <c r="AV7" s="33"/>
      <c r="AW7" s="33"/>
      <c r="AX7" s="33"/>
      <c r="AY7" s="33"/>
      <c r="AZ7" s="33"/>
      <c r="BA7" s="33"/>
      <c r="BB7" s="33"/>
      <c r="BC7" s="33"/>
      <c r="BD7" s="33"/>
      <c r="BE7" s="33"/>
      <c r="BF7" s="33"/>
      <c r="BG7" s="10">
        <v>11</v>
      </c>
    </row>
    <row r="8" spans="1:59" ht="10.5" customHeight="1">
      <c r="E8" s="9"/>
      <c r="F8" s="1403" t="s">
        <v>300</v>
      </c>
      <c r="G8" s="1404"/>
      <c r="H8" s="1404"/>
      <c r="I8" s="1404"/>
      <c r="J8" s="1404"/>
      <c r="K8" s="1404"/>
      <c r="L8" s="1404"/>
      <c r="M8" s="1404"/>
      <c r="N8" s="1404"/>
      <c r="O8" s="1404"/>
      <c r="P8" s="1404"/>
      <c r="Q8" s="1404"/>
      <c r="R8" s="1404"/>
      <c r="S8" s="1404"/>
      <c r="T8" s="1404"/>
      <c r="U8" s="1404"/>
      <c r="V8" s="1404"/>
      <c r="W8" s="1404"/>
      <c r="X8" s="1404"/>
      <c r="Y8" s="1404"/>
      <c r="Z8" s="1404"/>
      <c r="AA8" s="1404"/>
      <c r="AB8" s="1404"/>
      <c r="AC8" s="1404"/>
      <c r="AD8" s="1404"/>
      <c r="AE8" s="1404"/>
      <c r="AF8" s="1404"/>
      <c r="AG8" s="1404"/>
      <c r="AH8" s="1404"/>
      <c r="AI8" s="1404"/>
      <c r="AJ8" s="1404"/>
      <c r="AK8" s="1405"/>
      <c r="AL8" s="524"/>
      <c r="AM8" s="33"/>
      <c r="AN8" s="33"/>
      <c r="AO8" s="33"/>
      <c r="AP8" s="33"/>
      <c r="AQ8" s="33"/>
      <c r="AR8" s="33"/>
      <c r="AS8" s="33"/>
      <c r="AT8" s="33"/>
      <c r="AU8" s="33"/>
      <c r="AV8" s="33"/>
      <c r="AW8" s="33"/>
      <c r="AX8" s="33"/>
      <c r="AY8" s="33"/>
      <c r="AZ8" s="33"/>
      <c r="BA8" s="33"/>
      <c r="BB8" s="33"/>
      <c r="BC8" s="33"/>
      <c r="BD8" s="33"/>
      <c r="BE8" s="33"/>
      <c r="BF8" s="33"/>
      <c r="BG8" s="10">
        <v>10</v>
      </c>
    </row>
    <row r="9" spans="1:59" ht="24" customHeight="1">
      <c r="A9" s="523"/>
      <c r="B9" s="523"/>
      <c r="C9" s="523"/>
      <c r="E9" s="9"/>
      <c r="F9" s="1244" t="s">
        <v>984</v>
      </c>
      <c r="G9" s="1345" t="s">
        <v>985</v>
      </c>
      <c r="H9" s="1386"/>
      <c r="I9" s="1146" t="s">
        <v>986</v>
      </c>
      <c r="J9" s="1146"/>
      <c r="K9" s="1146" t="s">
        <v>987</v>
      </c>
      <c r="L9" s="1146"/>
      <c r="M9" s="1146"/>
      <c r="N9" s="1146"/>
      <c r="O9" s="1146"/>
      <c r="P9" s="1146"/>
      <c r="Q9" s="1146"/>
      <c r="R9" s="1146"/>
      <c r="S9" s="1146"/>
      <c r="T9" s="1146"/>
      <c r="U9" s="1146"/>
      <c r="V9" s="1146"/>
      <c r="W9" s="1146"/>
      <c r="X9" s="1146"/>
      <c r="Y9" s="1146"/>
      <c r="Z9" s="1217" t="s">
        <v>988</v>
      </c>
      <c r="AA9" s="1218"/>
      <c r="AB9" s="1146" t="s">
        <v>989</v>
      </c>
      <c r="AC9" s="1146"/>
      <c r="AD9" s="1146"/>
      <c r="AE9" s="1146"/>
      <c r="AF9" s="1216" t="s">
        <v>990</v>
      </c>
      <c r="AG9" s="1146" t="s">
        <v>991</v>
      </c>
      <c r="AH9" s="1146"/>
      <c r="AI9" s="1216" t="s">
        <v>992</v>
      </c>
      <c r="AJ9" s="1146" t="s">
        <v>993</v>
      </c>
      <c r="AK9" s="1146"/>
      <c r="AM9" s="33"/>
      <c r="AN9" s="33"/>
      <c r="AO9" s="33"/>
      <c r="AP9" s="33"/>
      <c r="AQ9" s="33"/>
      <c r="AR9" s="33"/>
      <c r="AS9" s="33"/>
      <c r="AT9" s="33"/>
      <c r="AU9" s="33"/>
      <c r="AV9" s="33"/>
      <c r="AW9" s="33"/>
      <c r="AX9" s="33"/>
      <c r="AY9" s="33"/>
      <c r="AZ9" s="33"/>
      <c r="BA9" s="33"/>
      <c r="BB9" s="33"/>
      <c r="BC9" s="33"/>
      <c r="BD9" s="33"/>
      <c r="BE9" s="33"/>
      <c r="BF9" s="33"/>
      <c r="BG9" s="10">
        <v>23</v>
      </c>
    </row>
    <row r="10" spans="1:59" ht="25.15" customHeight="1">
      <c r="A10" s="523"/>
      <c r="B10" s="523"/>
      <c r="C10" s="523"/>
      <c r="E10" s="9"/>
      <c r="F10" s="1244"/>
      <c r="G10" s="1346"/>
      <c r="H10" s="1248"/>
      <c r="I10" s="1146"/>
      <c r="J10" s="1146"/>
      <c r="K10" s="1146" t="s">
        <v>994</v>
      </c>
      <c r="L10" s="1128" t="s">
        <v>995</v>
      </c>
      <c r="M10" s="1127"/>
      <c r="N10" s="1146" t="s">
        <v>996</v>
      </c>
      <c r="O10" s="1146"/>
      <c r="P10" s="1146"/>
      <c r="Q10" s="1146"/>
      <c r="R10" s="1146"/>
      <c r="S10" s="1146"/>
      <c r="T10" s="1146"/>
      <c r="U10" s="1146"/>
      <c r="V10" s="1146"/>
      <c r="W10" s="1146"/>
      <c r="X10" s="1146"/>
      <c r="Y10" s="1146"/>
      <c r="Z10" s="1219"/>
      <c r="AA10" s="1220"/>
      <c r="AB10" s="1146"/>
      <c r="AC10" s="1146"/>
      <c r="AD10" s="1146"/>
      <c r="AE10" s="1146"/>
      <c r="AF10" s="1221"/>
      <c r="AG10" s="1146"/>
      <c r="AH10" s="1146"/>
      <c r="AI10" s="1221"/>
      <c r="AJ10" s="1146"/>
      <c r="AK10" s="1146"/>
      <c r="AM10" s="33"/>
      <c r="AN10" s="33"/>
      <c r="AO10" s="33"/>
      <c r="AP10" s="33"/>
      <c r="AQ10" s="33"/>
      <c r="AR10" s="33"/>
      <c r="AS10" s="33"/>
      <c r="AT10" s="33"/>
      <c r="AU10" s="33"/>
      <c r="AV10" s="33"/>
      <c r="AW10" s="33"/>
      <c r="AX10" s="33"/>
      <c r="AY10" s="33"/>
      <c r="AZ10" s="33"/>
      <c r="BA10" s="33"/>
      <c r="BB10" s="33"/>
      <c r="BC10" s="33"/>
      <c r="BD10" s="33"/>
      <c r="BE10" s="33"/>
      <c r="BF10" s="33"/>
      <c r="BG10" s="10">
        <v>24</v>
      </c>
    </row>
    <row r="11" spans="1:59" s="10" customFormat="1" ht="25.15" customHeight="1">
      <c r="A11" s="523"/>
      <c r="B11" s="523"/>
      <c r="C11" s="523"/>
      <c r="D11" s="60"/>
      <c r="E11" s="9"/>
      <c r="F11" s="1244"/>
      <c r="G11" s="1346"/>
      <c r="H11" s="1248"/>
      <c r="I11" s="1146"/>
      <c r="J11" s="1146"/>
      <c r="K11" s="1146"/>
      <c r="L11" s="1216" t="s">
        <v>997</v>
      </c>
      <c r="M11" s="1216" t="s">
        <v>998</v>
      </c>
      <c r="N11" s="1146" t="s">
        <v>999</v>
      </c>
      <c r="O11" s="1146"/>
      <c r="P11" s="1203" t="s">
        <v>980</v>
      </c>
      <c r="Q11" s="1203" t="s">
        <v>1000</v>
      </c>
      <c r="R11" s="1203" t="s">
        <v>1001</v>
      </c>
      <c r="S11" s="1203" t="s">
        <v>1002</v>
      </c>
      <c r="T11" s="1203"/>
      <c r="U11" s="1203"/>
      <c r="V11" s="1203"/>
      <c r="W11" s="1203"/>
      <c r="X11" s="1203"/>
      <c r="Y11" s="1203"/>
      <c r="Z11" s="1219"/>
      <c r="AA11" s="1220"/>
      <c r="AB11" s="1146" t="s">
        <v>1003</v>
      </c>
      <c r="AC11" s="1146"/>
      <c r="AD11" s="1128" t="s">
        <v>1004</v>
      </c>
      <c r="AE11" s="1127"/>
      <c r="AF11" s="1221"/>
      <c r="AG11" s="1146"/>
      <c r="AH11" s="1146"/>
      <c r="AI11" s="1221"/>
      <c r="AJ11" s="1146"/>
      <c r="AK11" s="1146"/>
      <c r="AM11" s="33"/>
      <c r="AN11" s="33"/>
      <c r="AO11" s="33"/>
      <c r="AP11" s="33"/>
      <c r="AQ11" s="33"/>
      <c r="AR11" s="33"/>
      <c r="AS11" s="33"/>
      <c r="AT11" s="33"/>
      <c r="AU11" s="33"/>
      <c r="AV11" s="33"/>
      <c r="AW11" s="33"/>
      <c r="AX11" s="33"/>
      <c r="AY11" s="33"/>
      <c r="AZ11" s="33"/>
      <c r="BA11" s="33"/>
      <c r="BB11" s="33"/>
      <c r="BC11" s="33"/>
      <c r="BD11" s="33"/>
      <c r="BE11" s="33"/>
      <c r="BF11" s="33"/>
      <c r="BG11" s="10">
        <v>24</v>
      </c>
    </row>
    <row r="12" spans="1:59" ht="35.65" customHeight="1">
      <c r="A12" s="523"/>
      <c r="B12" s="523"/>
      <c r="C12" s="523"/>
      <c r="E12" s="9"/>
      <c r="F12" s="1244"/>
      <c r="G12" s="1347"/>
      <c r="H12" s="1402"/>
      <c r="I12" s="40" t="s">
        <v>87</v>
      </c>
      <c r="J12" s="40" t="s">
        <v>1005</v>
      </c>
      <c r="K12" s="1146"/>
      <c r="L12" s="1269"/>
      <c r="M12" s="1269"/>
      <c r="N12" s="1146"/>
      <c r="O12" s="1146"/>
      <c r="P12" s="1203"/>
      <c r="Q12" s="1203"/>
      <c r="R12" s="1203"/>
      <c r="S12" s="38" t="s">
        <v>84</v>
      </c>
      <c r="T12" s="38" t="s">
        <v>85</v>
      </c>
      <c r="U12" s="38" t="s">
        <v>83</v>
      </c>
      <c r="V12" s="38" t="s">
        <v>1006</v>
      </c>
      <c r="W12" s="38" t="s">
        <v>83</v>
      </c>
      <c r="X12" s="38" t="s">
        <v>1007</v>
      </c>
      <c r="Y12" s="38" t="s">
        <v>1008</v>
      </c>
      <c r="Z12" s="1222"/>
      <c r="AA12" s="1223"/>
      <c r="AB12" s="40" t="s">
        <v>1009</v>
      </c>
      <c r="AC12" s="40" t="s">
        <v>1010</v>
      </c>
      <c r="AD12" s="40" t="s">
        <v>1009</v>
      </c>
      <c r="AE12" s="40" t="s">
        <v>1010</v>
      </c>
      <c r="AF12" s="1269"/>
      <c r="AG12" s="40" t="s">
        <v>1011</v>
      </c>
      <c r="AH12" s="40" t="s">
        <v>1012</v>
      </c>
      <c r="AI12" s="1269"/>
      <c r="AJ12" s="40" t="s">
        <v>1011</v>
      </c>
      <c r="AK12" s="40" t="s">
        <v>1012</v>
      </c>
      <c r="AM12" s="33"/>
      <c r="AN12" s="33"/>
      <c r="AO12" s="33"/>
      <c r="AP12" s="33"/>
      <c r="AQ12" s="33"/>
      <c r="AR12" s="33"/>
      <c r="AS12" s="33"/>
      <c r="AT12" s="33"/>
      <c r="AU12" s="33"/>
      <c r="AV12" s="33"/>
      <c r="AW12" s="33"/>
      <c r="AX12" s="33"/>
      <c r="AY12" s="33"/>
      <c r="AZ12" s="33"/>
      <c r="BA12" s="33"/>
      <c r="BB12" s="33"/>
      <c r="BC12" s="33"/>
      <c r="BD12" s="33"/>
      <c r="BE12" s="33"/>
      <c r="BF12" s="33"/>
      <c r="BG12" s="10">
        <v>34</v>
      </c>
    </row>
    <row r="13" spans="1:59" ht="1.1499999999999999" customHeight="1">
      <c r="E13" s="9"/>
      <c r="F13" s="9">
        <v>0</v>
      </c>
      <c r="G13" s="9"/>
      <c r="H13" s="9"/>
      <c r="I13" s="9"/>
      <c r="J13" s="9"/>
      <c r="AL13" s="524"/>
      <c r="AM13" s="33"/>
      <c r="AN13" s="33"/>
      <c r="AO13" s="33"/>
      <c r="AP13" s="33"/>
      <c r="AQ13" s="33"/>
      <c r="AR13" s="33"/>
      <c r="AS13" s="33"/>
      <c r="AT13" s="33"/>
      <c r="AU13" s="33"/>
      <c r="AV13" s="33"/>
      <c r="AW13" s="33"/>
      <c r="AX13" s="33"/>
      <c r="AY13" s="33"/>
      <c r="AZ13" s="33"/>
      <c r="BA13" s="33"/>
      <c r="BB13" s="33"/>
      <c r="BC13" s="33"/>
      <c r="BD13" s="33"/>
      <c r="BE13" s="33"/>
      <c r="BF13" s="33"/>
      <c r="BG13" s="10">
        <v>1</v>
      </c>
    </row>
    <row r="14" spans="1:59" ht="10.5" customHeight="1">
      <c r="E14" s="33"/>
      <c r="AL14" s="33"/>
      <c r="AM14" s="33"/>
      <c r="AN14" s="33"/>
      <c r="AO14" s="33"/>
      <c r="AP14" s="33"/>
      <c r="AQ14" s="33"/>
      <c r="AR14" s="33"/>
      <c r="AS14" s="33"/>
      <c r="AT14" s="33"/>
      <c r="AU14" s="33"/>
      <c r="AV14" s="33"/>
      <c r="AW14" s="33"/>
      <c r="AX14" s="33"/>
      <c r="AY14" s="33"/>
      <c r="AZ14" s="33"/>
      <c r="BA14" s="33"/>
      <c r="BB14" s="33"/>
      <c r="BC14" s="33"/>
      <c r="BD14" s="33"/>
      <c r="BE14" s="33"/>
      <c r="BF14" s="33"/>
      <c r="BG14" s="10">
        <v>10</v>
      </c>
    </row>
    <row r="15" spans="1:59" ht="13.5" customHeight="1">
      <c r="E15" s="33"/>
      <c r="F15" s="16" t="s">
        <v>1013</v>
      </c>
      <c r="G15" s="16"/>
      <c r="H15" s="16"/>
      <c r="I15" s="16"/>
      <c r="J15" s="16"/>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10">
        <v>13</v>
      </c>
    </row>
    <row r="16" spans="1:59" ht="10.5" customHeight="1">
      <c r="BG16" s="10">
        <v>10</v>
      </c>
    </row>
    <row r="17" spans="1:59" ht="10.5" customHeight="1">
      <c r="E17" s="33"/>
      <c r="F17" s="1401"/>
      <c r="G17" s="1401"/>
      <c r="H17" s="1401"/>
      <c r="I17" s="1401"/>
      <c r="J17" s="1401"/>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10">
        <v>10</v>
      </c>
    </row>
    <row r="18" spans="1:59" ht="10.5" customHeight="1">
      <c r="E18" s="33"/>
      <c r="F18" s="1401"/>
      <c r="G18" s="1401"/>
      <c r="H18" s="1401"/>
      <c r="I18" s="1401"/>
      <c r="J18" s="1401"/>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10">
        <v>10</v>
      </c>
    </row>
    <row r="19" spans="1:59" ht="10.5" customHeight="1">
      <c r="E19" s="33"/>
      <c r="F19" s="1401"/>
      <c r="G19" s="1401"/>
      <c r="H19" s="1401"/>
      <c r="I19" s="1401"/>
      <c r="J19" s="1401"/>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10">
        <v>10</v>
      </c>
    </row>
    <row r="20" spans="1:59" ht="10.5" hidden="1" customHeight="1">
      <c r="A20" s="300" t="s">
        <v>80</v>
      </c>
      <c r="B20" s="300">
        <v>0</v>
      </c>
      <c r="C20" s="300">
        <v>0</v>
      </c>
      <c r="D20" s="60">
        <v>0</v>
      </c>
      <c r="E20" s="10">
        <v>3</v>
      </c>
      <c r="F20" s="10">
        <v>14</v>
      </c>
      <c r="G20" s="10">
        <v>3</v>
      </c>
      <c r="H20" s="10">
        <v>7</v>
      </c>
      <c r="I20" s="10">
        <v>16</v>
      </c>
      <c r="J20" s="10">
        <v>16</v>
      </c>
      <c r="K20" s="10">
        <v>25</v>
      </c>
      <c r="L20" s="10">
        <v>7</v>
      </c>
      <c r="M20" s="10">
        <v>15</v>
      </c>
      <c r="N20" s="10">
        <v>3</v>
      </c>
      <c r="O20" s="10">
        <v>4</v>
      </c>
      <c r="P20" s="10">
        <v>8</v>
      </c>
      <c r="Q20" s="10">
        <v>21</v>
      </c>
      <c r="R20" s="10">
        <v>14</v>
      </c>
      <c r="S20" s="10">
        <v>17</v>
      </c>
      <c r="T20" s="10">
        <v>17</v>
      </c>
      <c r="U20" s="10">
        <v>9</v>
      </c>
      <c r="V20" s="10">
        <v>12</v>
      </c>
      <c r="W20" s="10">
        <v>9</v>
      </c>
      <c r="X20" s="10">
        <v>21</v>
      </c>
      <c r="Y20" s="10">
        <v>12</v>
      </c>
      <c r="Z20" s="10">
        <v>3</v>
      </c>
      <c r="AA20" s="10">
        <v>6</v>
      </c>
      <c r="AB20" s="10">
        <v>38</v>
      </c>
      <c r="AC20" s="10">
        <v>15</v>
      </c>
      <c r="AD20" s="10">
        <v>0</v>
      </c>
      <c r="AE20" s="10">
        <v>0</v>
      </c>
      <c r="AF20" s="10">
        <v>16</v>
      </c>
      <c r="AG20" s="10">
        <v>16</v>
      </c>
      <c r="AH20" s="10">
        <v>16</v>
      </c>
      <c r="AI20" s="10">
        <v>0</v>
      </c>
      <c r="AJ20" s="10">
        <v>0</v>
      </c>
      <c r="AK20" s="10">
        <v>0</v>
      </c>
      <c r="AL20" s="10">
        <v>8</v>
      </c>
      <c r="AM20" s="10">
        <v>8</v>
      </c>
      <c r="AN20" s="10">
        <v>8</v>
      </c>
      <c r="AO20" s="10">
        <v>8</v>
      </c>
      <c r="AP20" s="10">
        <v>8</v>
      </c>
      <c r="AQ20" s="10">
        <v>8</v>
      </c>
      <c r="AR20" s="10">
        <v>8</v>
      </c>
      <c r="AS20" s="10">
        <v>8</v>
      </c>
      <c r="AT20" s="10">
        <v>8</v>
      </c>
      <c r="AU20" s="10">
        <v>8</v>
      </c>
      <c r="AV20" s="10">
        <v>8</v>
      </c>
      <c r="AW20" s="10">
        <v>8</v>
      </c>
      <c r="AX20" s="10">
        <v>8</v>
      </c>
      <c r="AY20" s="10">
        <v>8</v>
      </c>
      <c r="AZ20" s="10">
        <v>8</v>
      </c>
      <c r="BA20" s="10">
        <v>8</v>
      </c>
      <c r="BB20" s="10">
        <v>8</v>
      </c>
      <c r="BC20" s="10">
        <v>8</v>
      </c>
      <c r="BD20" s="10">
        <v>8</v>
      </c>
      <c r="BE20" s="10">
        <v>8</v>
      </c>
      <c r="BF20" s="10">
        <v>8</v>
      </c>
      <c r="BG20" s="10">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300" hidden="1" customWidth="1"/>
    <col min="4" max="4" width="4.140625" style="60" hidden="1" customWidth="1"/>
    <col min="5" max="5" width="3" style="10" customWidth="1"/>
    <col min="6" max="6" width="6" style="10" customWidth="1"/>
    <col min="7" max="7" width="60" style="10" customWidth="1"/>
    <col min="8" max="9" width="21.7109375" style="10" hidden="1" customWidth="1"/>
    <col min="10" max="10" width="0.140625" style="10" customWidth="1"/>
    <col min="11" max="11" width="1" style="10" customWidth="1"/>
    <col min="12" max="22" width="8" style="10" customWidth="1"/>
    <col min="23" max="23" width="9.140625" style="10" hidden="1"/>
  </cols>
  <sheetData>
    <row r="1" spans="1:23" s="60" customFormat="1" ht="10.5" hidden="1" customHeight="1">
      <c r="A1" s="300"/>
      <c r="B1" s="300"/>
      <c r="C1" s="300"/>
      <c r="W1" s="60" t="s">
        <v>14</v>
      </c>
    </row>
    <row r="2" spans="1:23" ht="10.5" hidden="1" customHeight="1">
      <c r="W2" s="10">
        <v>0</v>
      </c>
    </row>
    <row r="3" spans="1:23" s="7" customFormat="1" ht="10.5" hidden="1" customHeight="1">
      <c r="A3" s="300"/>
      <c r="B3" s="300"/>
      <c r="C3" s="300"/>
      <c r="D3" s="60"/>
      <c r="W3" s="7">
        <v>0</v>
      </c>
    </row>
    <row r="4" spans="1:23" ht="3" customHeight="1">
      <c r="W4" s="10">
        <v>3</v>
      </c>
    </row>
    <row r="5" spans="1:23" ht="27.4" customHeight="1">
      <c r="F5" s="126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264"/>
      <c r="H5" s="1264"/>
      <c r="I5" s="1264"/>
      <c r="J5" s="1264"/>
      <c r="W5" s="10">
        <v>26</v>
      </c>
    </row>
    <row r="6" spans="1:23" ht="10.5" customHeight="1">
      <c r="F6" s="1236" t="str">
        <f>IF(org=0,"Не определено",org)</f>
        <v>Общество с ограниченной ответственностью "Березовский рудник"</v>
      </c>
      <c r="G6" s="1236"/>
      <c r="H6" s="1236"/>
      <c r="I6" s="1236"/>
      <c r="J6" s="1236"/>
      <c r="W6" s="10">
        <v>10</v>
      </c>
    </row>
    <row r="7" spans="1:23" ht="11.45" customHeight="1">
      <c r="E7" s="9"/>
      <c r="F7" s="707"/>
      <c r="G7" s="707"/>
      <c r="H7" s="707"/>
      <c r="I7" s="707"/>
      <c r="J7" s="707"/>
      <c r="K7" s="33"/>
      <c r="L7" s="33"/>
      <c r="M7" s="33"/>
      <c r="N7" s="33"/>
      <c r="O7" s="33"/>
      <c r="P7" s="33"/>
      <c r="Q7" s="33"/>
      <c r="R7" s="33"/>
      <c r="S7" s="33"/>
      <c r="T7" s="33"/>
      <c r="U7" s="33"/>
      <c r="V7" s="33"/>
      <c r="W7" s="10">
        <v>11</v>
      </c>
    </row>
    <row r="8" spans="1:23" s="65" customFormat="1" ht="4.1500000000000004" customHeight="1">
      <c r="A8" s="310"/>
      <c r="B8" s="310"/>
      <c r="C8" s="310"/>
      <c r="E8" s="101"/>
      <c r="F8" s="708"/>
      <c r="G8" s="708"/>
      <c r="H8" s="708"/>
      <c r="I8" s="708"/>
      <c r="J8" s="708"/>
      <c r="K8" s="101"/>
      <c r="L8" s="101"/>
      <c r="M8" s="101"/>
      <c r="N8" s="101"/>
      <c r="O8" s="101"/>
      <c r="P8" s="101"/>
      <c r="Q8" s="101"/>
      <c r="R8" s="101"/>
      <c r="S8" s="101"/>
      <c r="T8" s="101"/>
      <c r="U8" s="101"/>
      <c r="V8" s="101"/>
      <c r="W8" s="65">
        <v>4</v>
      </c>
    </row>
    <row r="9" spans="1:23" ht="10.5" customHeight="1">
      <c r="E9" s="9"/>
      <c r="F9" s="1406" t="s">
        <v>300</v>
      </c>
      <c r="G9" s="1407"/>
      <c r="H9" s="1407"/>
      <c r="I9" s="1407"/>
      <c r="J9" s="1407"/>
      <c r="K9" s="715"/>
      <c r="L9" s="33"/>
      <c r="M9" s="33"/>
      <c r="N9" s="33"/>
      <c r="O9" s="33"/>
      <c r="P9" s="33"/>
      <c r="Q9" s="33"/>
      <c r="R9" s="33"/>
      <c r="S9" s="33"/>
      <c r="T9" s="33"/>
      <c r="U9" s="33"/>
      <c r="V9" s="33"/>
      <c r="W9" s="10">
        <v>10</v>
      </c>
    </row>
    <row r="10" spans="1:23" ht="25.15" customHeight="1">
      <c r="E10" s="33"/>
      <c r="F10" s="1410" t="s">
        <v>86</v>
      </c>
      <c r="G10" s="1414" t="s">
        <v>1014</v>
      </c>
      <c r="H10" s="1397" t="s">
        <v>1015</v>
      </c>
      <c r="I10" s="1397"/>
      <c r="J10" s="1397"/>
      <c r="K10" s="710"/>
      <c r="L10" s="33"/>
      <c r="M10" s="33"/>
      <c r="N10" s="33"/>
      <c r="O10" s="33"/>
      <c r="P10" s="33"/>
      <c r="Q10" s="33"/>
      <c r="R10" s="33"/>
      <c r="S10" s="33"/>
      <c r="T10" s="33"/>
      <c r="U10" s="33"/>
      <c r="V10" s="33"/>
      <c r="W10" s="10">
        <v>24</v>
      </c>
    </row>
    <row r="11" spans="1:23" ht="25.5" customHeight="1">
      <c r="E11" s="33"/>
      <c r="F11" s="1411"/>
      <c r="G11" s="1414"/>
      <c r="H11" s="1413" t="e">
        <f>INDEX(IP_MAIN_LIST_NAME_IP,MATCH(H8,IP_MAIN_LIST_IP_ID,0))&amp;" ("&amp;INDEX(IP_MAIN_START_DATE,MATCH(H8,IP_MAIN_LIST_IP_ID,0))&amp;"-"&amp;INDEX(IP_MAIN_END_DATE,MATCH(H8,IP_MAIN_LIST_IP_ID,0))&amp;")"</f>
        <v>#N/A</v>
      </c>
      <c r="I11" s="1413"/>
      <c r="J11" s="1413"/>
      <c r="K11" s="710"/>
      <c r="L11" s="33"/>
      <c r="M11" s="33"/>
      <c r="N11" s="33"/>
      <c r="O11" s="33"/>
      <c r="P11" s="33"/>
      <c r="Q11" s="33"/>
      <c r="R11" s="33"/>
      <c r="S11" s="33"/>
      <c r="T11" s="33"/>
      <c r="U11" s="33"/>
      <c r="V11" s="33"/>
      <c r="W11" s="10">
        <v>24</v>
      </c>
    </row>
    <row r="12" spans="1:23" ht="10.5" customHeight="1">
      <c r="F12" s="1412"/>
      <c r="G12" s="1414"/>
      <c r="H12" s="145" t="s">
        <v>1016</v>
      </c>
      <c r="I12" s="709"/>
      <c r="J12" s="145"/>
      <c r="K12" s="711"/>
      <c r="W12" s="10">
        <v>10</v>
      </c>
    </row>
    <row r="13" spans="1:23" ht="10.5" hidden="1" customHeight="1">
      <c r="F13" s="145">
        <v>1</v>
      </c>
      <c r="G13" s="145">
        <v>2</v>
      </c>
      <c r="H13" s="145">
        <v>3</v>
      </c>
      <c r="I13" s="145">
        <v>4</v>
      </c>
      <c r="J13" s="145">
        <v>5</v>
      </c>
      <c r="K13" s="711"/>
      <c r="W13" s="10">
        <v>0</v>
      </c>
    </row>
    <row r="14" spans="1:23" ht="11.45" customHeight="1">
      <c r="F14" s="239" t="s">
        <v>1017</v>
      </c>
      <c r="G14" s="1408" t="s">
        <v>1018</v>
      </c>
      <c r="H14" s="1408"/>
      <c r="I14" s="1408"/>
      <c r="J14" s="1408"/>
      <c r="K14" s="711"/>
      <c r="W14" s="10">
        <v>11</v>
      </c>
    </row>
    <row r="15" spans="1:23" ht="11.45" customHeight="1">
      <c r="F15" s="145">
        <v>1</v>
      </c>
      <c r="G15" s="391" t="s">
        <v>1019</v>
      </c>
      <c r="H15" s="361">
        <f t="shared" ref="H15:H36" si="0">SUM(I15:J15)</f>
        <v>0</v>
      </c>
      <c r="I15" s="361">
        <f>SUM(I16:I27)</f>
        <v>0</v>
      </c>
      <c r="J15" s="239"/>
      <c r="K15" s="711"/>
      <c r="W15" s="10">
        <v>11</v>
      </c>
    </row>
    <row r="16" spans="1:23" ht="24" customHeight="1">
      <c r="F16" s="145" t="s">
        <v>1020</v>
      </c>
      <c r="G16" s="713" t="s">
        <v>1021</v>
      </c>
      <c r="H16" s="361">
        <f t="shared" si="0"/>
        <v>0</v>
      </c>
      <c r="I16" s="712"/>
      <c r="J16" s="239"/>
      <c r="K16" s="711"/>
      <c r="W16" s="10">
        <v>23</v>
      </c>
    </row>
    <row r="17" spans="6:23" ht="24" customHeight="1">
      <c r="F17" s="145" t="s">
        <v>1022</v>
      </c>
      <c r="G17" s="713" t="s">
        <v>1023</v>
      </c>
      <c r="H17" s="361">
        <f t="shared" si="0"/>
        <v>0</v>
      </c>
      <c r="I17" s="712"/>
      <c r="J17" s="239"/>
      <c r="K17" s="711"/>
      <c r="W17" s="10">
        <v>23</v>
      </c>
    </row>
    <row r="18" spans="6:23" ht="35.65" customHeight="1">
      <c r="F18" s="145" t="s">
        <v>1024</v>
      </c>
      <c r="G18" s="713" t="s">
        <v>1025</v>
      </c>
      <c r="H18" s="361">
        <f t="shared" si="0"/>
        <v>0</v>
      </c>
      <c r="I18" s="712"/>
      <c r="J18" s="239"/>
      <c r="K18" s="711"/>
      <c r="W18" s="10">
        <v>34</v>
      </c>
    </row>
    <row r="19" spans="6:23" ht="35.65" customHeight="1">
      <c r="F19" s="145" t="s">
        <v>1026</v>
      </c>
      <c r="G19" s="713" t="s">
        <v>1027</v>
      </c>
      <c r="H19" s="361">
        <f t="shared" si="0"/>
        <v>0</v>
      </c>
      <c r="I19" s="712"/>
      <c r="J19" s="239"/>
      <c r="K19" s="711"/>
      <c r="W19" s="10">
        <v>34</v>
      </c>
    </row>
    <row r="20" spans="6:23" ht="48.2" customHeight="1">
      <c r="F20" s="145" t="s">
        <v>1028</v>
      </c>
      <c r="G20" s="713" t="s">
        <v>1029</v>
      </c>
      <c r="H20" s="361">
        <f t="shared" si="0"/>
        <v>0</v>
      </c>
      <c r="I20" s="712"/>
      <c r="J20" s="239"/>
      <c r="K20" s="711"/>
      <c r="W20" s="10">
        <v>46</v>
      </c>
    </row>
    <row r="21" spans="6:23" ht="35.65" customHeight="1">
      <c r="F21" s="145" t="s">
        <v>1030</v>
      </c>
      <c r="G21" s="713" t="s">
        <v>1031</v>
      </c>
      <c r="H21" s="361">
        <f t="shared" si="0"/>
        <v>0</v>
      </c>
      <c r="I21" s="712"/>
      <c r="J21" s="239"/>
      <c r="K21" s="711"/>
      <c r="W21" s="10">
        <v>34</v>
      </c>
    </row>
    <row r="22" spans="6:23" ht="35.65" customHeight="1">
      <c r="F22" s="145" t="s">
        <v>1032</v>
      </c>
      <c r="G22" s="713" t="s">
        <v>1033</v>
      </c>
      <c r="H22" s="361">
        <f t="shared" si="0"/>
        <v>0</v>
      </c>
      <c r="I22" s="712"/>
      <c r="J22" s="239"/>
      <c r="K22" s="711"/>
      <c r="W22" s="10">
        <v>34</v>
      </c>
    </row>
    <row r="23" spans="6:23" ht="24" customHeight="1">
      <c r="F23" s="145" t="s">
        <v>1034</v>
      </c>
      <c r="G23" s="713" t="s">
        <v>1035</v>
      </c>
      <c r="H23" s="361">
        <f t="shared" si="0"/>
        <v>0</v>
      </c>
      <c r="I23" s="712"/>
      <c r="J23" s="239"/>
      <c r="K23" s="711"/>
      <c r="W23" s="10">
        <v>23</v>
      </c>
    </row>
    <row r="24" spans="6:23" ht="24" customHeight="1">
      <c r="F24" s="145" t="s">
        <v>1036</v>
      </c>
      <c r="G24" s="713" t="s">
        <v>1037</v>
      </c>
      <c r="H24" s="361">
        <f t="shared" si="0"/>
        <v>0</v>
      </c>
      <c r="I24" s="712"/>
      <c r="J24" s="239"/>
      <c r="K24" s="711"/>
      <c r="W24" s="10">
        <v>23</v>
      </c>
    </row>
    <row r="25" spans="6:23" ht="35.65" customHeight="1">
      <c r="F25" s="145" t="s">
        <v>1038</v>
      </c>
      <c r="G25" s="713" t="s">
        <v>1039</v>
      </c>
      <c r="H25" s="361">
        <f t="shared" si="0"/>
        <v>0</v>
      </c>
      <c r="I25" s="712"/>
      <c r="J25" s="239"/>
      <c r="K25" s="711"/>
      <c r="W25" s="10">
        <v>34</v>
      </c>
    </row>
    <row r="26" spans="6:23" ht="35.65" customHeight="1">
      <c r="F26" s="145" t="s">
        <v>1040</v>
      </c>
      <c r="G26" s="713" t="s">
        <v>1041</v>
      </c>
      <c r="H26" s="361">
        <f t="shared" si="0"/>
        <v>0</v>
      </c>
      <c r="I26" s="712"/>
      <c r="J26" s="239"/>
      <c r="K26" s="711"/>
      <c r="W26" s="10">
        <v>34</v>
      </c>
    </row>
    <row r="27" spans="6:23" ht="11.45" customHeight="1">
      <c r="F27" s="145" t="s">
        <v>1042</v>
      </c>
      <c r="G27" s="713" t="s">
        <v>1043</v>
      </c>
      <c r="H27" s="361">
        <f t="shared" si="0"/>
        <v>0</v>
      </c>
      <c r="I27" s="712"/>
      <c r="J27" s="239"/>
      <c r="K27" s="711"/>
      <c r="W27" s="10">
        <v>11</v>
      </c>
    </row>
    <row r="28" spans="6:23" ht="11.45" customHeight="1">
      <c r="F28" s="145">
        <v>2</v>
      </c>
      <c r="G28" s="391" t="s">
        <v>1044</v>
      </c>
      <c r="H28" s="361">
        <f t="shared" si="0"/>
        <v>0</v>
      </c>
      <c r="I28" s="361">
        <f>SUM(I29:I31)</f>
        <v>0</v>
      </c>
      <c r="J28" s="239"/>
      <c r="K28" s="711"/>
      <c r="W28" s="10">
        <v>11</v>
      </c>
    </row>
    <row r="29" spans="6:23" ht="11.45" customHeight="1">
      <c r="F29" s="145" t="s">
        <v>707</v>
      </c>
      <c r="G29" s="713" t="s">
        <v>1045</v>
      </c>
      <c r="H29" s="361">
        <f t="shared" si="0"/>
        <v>0</v>
      </c>
      <c r="I29" s="712"/>
      <c r="J29" s="239"/>
      <c r="K29" s="711"/>
      <c r="W29" s="10">
        <v>11</v>
      </c>
    </row>
    <row r="30" spans="6:23" ht="11.45" customHeight="1">
      <c r="F30" s="145" t="s">
        <v>307</v>
      </c>
      <c r="G30" s="713" t="s">
        <v>1046</v>
      </c>
      <c r="H30" s="361">
        <f t="shared" si="0"/>
        <v>0</v>
      </c>
      <c r="I30" s="712"/>
      <c r="J30" s="239"/>
      <c r="K30" s="711"/>
      <c r="W30" s="10">
        <v>11</v>
      </c>
    </row>
    <row r="31" spans="6:23" ht="11.45" customHeight="1">
      <c r="F31" s="145" t="s">
        <v>310</v>
      </c>
      <c r="G31" s="713" t="s">
        <v>1047</v>
      </c>
      <c r="H31" s="361">
        <f t="shared" si="0"/>
        <v>0</v>
      </c>
      <c r="I31" s="712"/>
      <c r="J31" s="239"/>
      <c r="K31" s="711"/>
      <c r="W31" s="10">
        <v>11</v>
      </c>
    </row>
    <row r="32" spans="6:23" ht="11.45" customHeight="1">
      <c r="F32" s="145">
        <v>3</v>
      </c>
      <c r="G32" s="391" t="s">
        <v>1048</v>
      </c>
      <c r="H32" s="361">
        <f t="shared" si="0"/>
        <v>0</v>
      </c>
      <c r="I32" s="361">
        <f>SUM(I33:I34)</f>
        <v>0</v>
      </c>
      <c r="J32" s="239"/>
      <c r="K32" s="711"/>
      <c r="W32" s="10">
        <v>11</v>
      </c>
    </row>
    <row r="33" spans="6:23" ht="48.2" customHeight="1">
      <c r="F33" s="145" t="s">
        <v>324</v>
      </c>
      <c r="G33" s="713" t="s">
        <v>1049</v>
      </c>
      <c r="H33" s="361">
        <f t="shared" si="0"/>
        <v>0</v>
      </c>
      <c r="I33" s="712"/>
      <c r="J33" s="239"/>
      <c r="K33" s="711"/>
      <c r="W33" s="10">
        <v>46</v>
      </c>
    </row>
    <row r="34" spans="6:23" ht="11.45" customHeight="1">
      <c r="F34" s="145" t="s">
        <v>332</v>
      </c>
      <c r="G34" s="713" t="s">
        <v>1050</v>
      </c>
      <c r="H34" s="361">
        <f t="shared" si="0"/>
        <v>0</v>
      </c>
      <c r="I34" s="712"/>
      <c r="J34" s="239"/>
      <c r="K34" s="711"/>
      <c r="W34" s="10">
        <v>11</v>
      </c>
    </row>
    <row r="35" spans="6:23" ht="11.45" customHeight="1">
      <c r="F35" s="145">
        <v>4</v>
      </c>
      <c r="G35" s="391" t="s">
        <v>1051</v>
      </c>
      <c r="H35" s="361">
        <f t="shared" si="0"/>
        <v>0</v>
      </c>
      <c r="I35" s="712"/>
      <c r="J35" s="239"/>
      <c r="K35" s="711"/>
      <c r="W35" s="10">
        <v>11</v>
      </c>
    </row>
    <row r="36" spans="6:23" ht="11.45" customHeight="1">
      <c r="F36" s="145"/>
      <c r="G36" s="394" t="s">
        <v>1052</v>
      </c>
      <c r="H36" s="361">
        <f t="shared" si="0"/>
        <v>0</v>
      </c>
      <c r="I36" s="361">
        <f>SUM(I15,I28,I32,I35)</f>
        <v>0</v>
      </c>
      <c r="J36" s="239"/>
      <c r="K36" s="711"/>
      <c r="W36" s="10">
        <v>11</v>
      </c>
    </row>
    <row r="37" spans="6:23" ht="29.25" customHeight="1">
      <c r="F37" s="239" t="s">
        <v>1053</v>
      </c>
      <c r="G37" s="1409" t="s">
        <v>1054</v>
      </c>
      <c r="H37" s="1409"/>
      <c r="I37" s="1409"/>
      <c r="J37" s="1409"/>
      <c r="K37" s="711"/>
      <c r="W37" s="10">
        <v>28</v>
      </c>
    </row>
    <row r="38" spans="6:23" ht="24" customHeight="1">
      <c r="F38" s="145" t="s">
        <v>107</v>
      </c>
      <c r="G38" s="391" t="s">
        <v>1055</v>
      </c>
      <c r="H38" s="361">
        <f t="shared" ref="H38:H58" si="1">SUM(I38:J38)</f>
        <v>0</v>
      </c>
      <c r="I38" s="361">
        <f>SUM(I39,I44,I47)</f>
        <v>0</v>
      </c>
      <c r="J38" s="239"/>
      <c r="K38" s="711"/>
      <c r="W38" s="10">
        <v>23</v>
      </c>
    </row>
    <row r="39" spans="6:23" ht="11.45" customHeight="1">
      <c r="F39" s="145" t="s">
        <v>1020</v>
      </c>
      <c r="G39" s="713" t="s">
        <v>1019</v>
      </c>
      <c r="H39" s="361">
        <f t="shared" si="1"/>
        <v>0</v>
      </c>
      <c r="I39" s="361">
        <f>SUM(I40:I43)</f>
        <v>0</v>
      </c>
      <c r="J39" s="239"/>
      <c r="K39" s="711"/>
      <c r="W39" s="10">
        <v>11</v>
      </c>
    </row>
    <row r="40" spans="6:23" ht="24" customHeight="1">
      <c r="F40" s="145" t="s">
        <v>1056</v>
      </c>
      <c r="G40" s="714" t="s">
        <v>1057</v>
      </c>
      <c r="H40" s="361">
        <f t="shared" si="1"/>
        <v>0</v>
      </c>
      <c r="I40" s="712"/>
      <c r="J40" s="239"/>
      <c r="K40" s="711"/>
      <c r="W40" s="10">
        <v>23</v>
      </c>
    </row>
    <row r="41" spans="6:23" ht="11.45" customHeight="1">
      <c r="F41" s="145" t="s">
        <v>1058</v>
      </c>
      <c r="G41" s="714" t="s">
        <v>1059</v>
      </c>
      <c r="H41" s="361">
        <f t="shared" si="1"/>
        <v>0</v>
      </c>
      <c r="I41" s="712"/>
      <c r="J41" s="239"/>
      <c r="K41" s="711"/>
      <c r="W41" s="10">
        <v>11</v>
      </c>
    </row>
    <row r="42" spans="6:23" ht="11.45" customHeight="1">
      <c r="F42" s="145" t="s">
        <v>1060</v>
      </c>
      <c r="G42" s="714" t="s">
        <v>1061</v>
      </c>
      <c r="H42" s="361">
        <f t="shared" si="1"/>
        <v>0</v>
      </c>
      <c r="I42" s="712"/>
      <c r="J42" s="239"/>
      <c r="K42" s="711"/>
      <c r="W42" s="10">
        <v>11</v>
      </c>
    </row>
    <row r="43" spans="6:23" ht="35.65" customHeight="1">
      <c r="F43" s="145" t="s">
        <v>1062</v>
      </c>
      <c r="G43" s="714" t="s">
        <v>1063</v>
      </c>
      <c r="H43" s="361">
        <f t="shared" si="1"/>
        <v>0</v>
      </c>
      <c r="I43" s="712"/>
      <c r="J43" s="239"/>
      <c r="K43" s="711"/>
      <c r="W43" s="10">
        <v>34</v>
      </c>
    </row>
    <row r="44" spans="6:23" ht="11.45" customHeight="1">
      <c r="F44" s="145" t="s">
        <v>1022</v>
      </c>
      <c r="G44" s="713" t="s">
        <v>1048</v>
      </c>
      <c r="H44" s="361">
        <f t="shared" si="1"/>
        <v>0</v>
      </c>
      <c r="I44" s="361">
        <f>SUM(I45:I46)</f>
        <v>0</v>
      </c>
      <c r="J44" s="239"/>
      <c r="K44" s="711"/>
      <c r="W44" s="10">
        <v>11</v>
      </c>
    </row>
    <row r="45" spans="6:23" ht="48.2" customHeight="1">
      <c r="F45" s="145" t="s">
        <v>1064</v>
      </c>
      <c r="G45" s="714" t="s">
        <v>1049</v>
      </c>
      <c r="H45" s="361">
        <f t="shared" si="1"/>
        <v>0</v>
      </c>
      <c r="I45" s="712"/>
      <c r="J45" s="239"/>
      <c r="K45" s="711"/>
      <c r="W45" s="10">
        <v>46</v>
      </c>
    </row>
    <row r="46" spans="6:23" ht="11.45" customHeight="1">
      <c r="F46" s="145" t="s">
        <v>1065</v>
      </c>
      <c r="G46" s="714" t="s">
        <v>1050</v>
      </c>
      <c r="H46" s="361">
        <f t="shared" si="1"/>
        <v>0</v>
      </c>
      <c r="I46" s="712"/>
      <c r="J46" s="239"/>
      <c r="K46" s="711"/>
      <c r="W46" s="10">
        <v>11</v>
      </c>
    </row>
    <row r="47" spans="6:23" ht="11.45" customHeight="1">
      <c r="F47" s="145" t="s">
        <v>1024</v>
      </c>
      <c r="G47" s="713" t="s">
        <v>1066</v>
      </c>
      <c r="H47" s="361">
        <f t="shared" si="1"/>
        <v>0</v>
      </c>
      <c r="I47" s="712"/>
      <c r="J47" s="239"/>
      <c r="K47" s="711"/>
      <c r="W47" s="10">
        <v>11</v>
      </c>
    </row>
    <row r="48" spans="6:23" ht="24" customHeight="1">
      <c r="F48" s="145" t="s">
        <v>108</v>
      </c>
      <c r="G48" s="391" t="s">
        <v>1067</v>
      </c>
      <c r="H48" s="361">
        <f t="shared" si="1"/>
        <v>0</v>
      </c>
      <c r="I48" s="361">
        <f>SUM(I49,I54,I57)</f>
        <v>0</v>
      </c>
      <c r="J48" s="239"/>
      <c r="K48" s="711"/>
      <c r="W48" s="10">
        <v>23</v>
      </c>
    </row>
    <row r="49" spans="1:23" ht="11.45" customHeight="1">
      <c r="F49" s="145" t="s">
        <v>707</v>
      </c>
      <c r="G49" s="713" t="s">
        <v>1019</v>
      </c>
      <c r="H49" s="361">
        <f t="shared" si="1"/>
        <v>0</v>
      </c>
      <c r="I49" s="361">
        <f>SUM(I50:I53)</f>
        <v>0</v>
      </c>
      <c r="J49" s="239"/>
      <c r="K49" s="711"/>
      <c r="W49" s="10">
        <v>11</v>
      </c>
    </row>
    <row r="50" spans="1:23" ht="24" customHeight="1">
      <c r="F50" s="145" t="s">
        <v>710</v>
      </c>
      <c r="G50" s="714" t="s">
        <v>1057</v>
      </c>
      <c r="H50" s="361">
        <f t="shared" si="1"/>
        <v>0</v>
      </c>
      <c r="I50" s="712"/>
      <c r="J50" s="239"/>
      <c r="K50" s="711"/>
      <c r="W50" s="10">
        <v>23</v>
      </c>
    </row>
    <row r="51" spans="1:23" ht="11.45" customHeight="1">
      <c r="F51" s="145" t="s">
        <v>713</v>
      </c>
      <c r="G51" s="714" t="s">
        <v>1059</v>
      </c>
      <c r="H51" s="361">
        <f t="shared" si="1"/>
        <v>0</v>
      </c>
      <c r="I51" s="712"/>
      <c r="J51" s="239"/>
      <c r="K51" s="711"/>
      <c r="W51" s="10">
        <v>11</v>
      </c>
    </row>
    <row r="52" spans="1:23" ht="11.45" customHeight="1">
      <c r="F52" s="145" t="s">
        <v>1068</v>
      </c>
      <c r="G52" s="714" t="s">
        <v>1061</v>
      </c>
      <c r="H52" s="361">
        <f t="shared" si="1"/>
        <v>0</v>
      </c>
      <c r="I52" s="712"/>
      <c r="J52" s="239"/>
      <c r="K52" s="711"/>
      <c r="W52" s="10">
        <v>11</v>
      </c>
    </row>
    <row r="53" spans="1:23" ht="35.65" customHeight="1">
      <c r="F53" s="145" t="s">
        <v>1069</v>
      </c>
      <c r="G53" s="714" t="s">
        <v>1063</v>
      </c>
      <c r="H53" s="361">
        <f t="shared" si="1"/>
        <v>0</v>
      </c>
      <c r="I53" s="712"/>
      <c r="J53" s="239"/>
      <c r="K53" s="711"/>
      <c r="W53" s="10">
        <v>34</v>
      </c>
    </row>
    <row r="54" spans="1:23" ht="11.45" customHeight="1">
      <c r="F54" s="145" t="s">
        <v>307</v>
      </c>
      <c r="G54" s="713" t="s">
        <v>1048</v>
      </c>
      <c r="H54" s="361">
        <f t="shared" si="1"/>
        <v>0</v>
      </c>
      <c r="I54" s="361">
        <f>SUM(I55:I56)</f>
        <v>0</v>
      </c>
      <c r="J54" s="239"/>
      <c r="K54" s="711"/>
      <c r="W54" s="10">
        <v>11</v>
      </c>
    </row>
    <row r="55" spans="1:23" ht="48.2" customHeight="1">
      <c r="F55" s="145" t="s">
        <v>717</v>
      </c>
      <c r="G55" s="714" t="s">
        <v>1049</v>
      </c>
      <c r="H55" s="361">
        <f t="shared" si="1"/>
        <v>0</v>
      </c>
      <c r="I55" s="712"/>
      <c r="J55" s="239"/>
      <c r="K55" s="711"/>
      <c r="W55" s="10">
        <v>46</v>
      </c>
    </row>
    <row r="56" spans="1:23" ht="11.45" customHeight="1">
      <c r="F56" s="145" t="s">
        <v>719</v>
      </c>
      <c r="G56" s="714" t="s">
        <v>1050</v>
      </c>
      <c r="H56" s="361">
        <f t="shared" si="1"/>
        <v>0</v>
      </c>
      <c r="I56" s="712"/>
      <c r="J56" s="239"/>
      <c r="K56" s="711"/>
      <c r="W56" s="10">
        <v>11</v>
      </c>
    </row>
    <row r="57" spans="1:23" ht="11.45" customHeight="1">
      <c r="F57" s="145" t="s">
        <v>310</v>
      </c>
      <c r="G57" s="713" t="s">
        <v>1066</v>
      </c>
      <c r="H57" s="361">
        <f t="shared" si="1"/>
        <v>0</v>
      </c>
      <c r="I57" s="712"/>
      <c r="J57" s="239"/>
      <c r="K57" s="711"/>
      <c r="W57" s="10">
        <v>11</v>
      </c>
    </row>
    <row r="58" spans="1:23" ht="11.45" customHeight="1">
      <c r="F58" s="145"/>
      <c r="G58" s="507" t="s">
        <v>1052</v>
      </c>
      <c r="H58" s="361">
        <f t="shared" si="1"/>
        <v>0</v>
      </c>
      <c r="I58" s="361">
        <f>SUM(I38,I48)</f>
        <v>0</v>
      </c>
      <c r="J58" s="239"/>
      <c r="K58" s="711"/>
      <c r="W58" s="10">
        <v>11</v>
      </c>
    </row>
    <row r="59" spans="1:23" ht="10.5" hidden="1" customHeight="1">
      <c r="A59" s="300" t="s">
        <v>80</v>
      </c>
      <c r="B59" s="300">
        <v>0</v>
      </c>
      <c r="C59" s="300">
        <v>0</v>
      </c>
      <c r="D59" s="60">
        <v>0</v>
      </c>
      <c r="E59" s="10">
        <v>3</v>
      </c>
      <c r="F59" s="10">
        <v>6</v>
      </c>
      <c r="G59" s="10">
        <v>60</v>
      </c>
      <c r="H59" s="10">
        <v>0</v>
      </c>
      <c r="I59" s="10">
        <v>0</v>
      </c>
      <c r="J59" s="10">
        <v>0</v>
      </c>
      <c r="K59" s="10">
        <v>1</v>
      </c>
      <c r="L59" s="10">
        <v>8</v>
      </c>
      <c r="M59" s="10">
        <v>8</v>
      </c>
      <c r="N59" s="10">
        <v>8</v>
      </c>
      <c r="O59" s="10">
        <v>8</v>
      </c>
      <c r="P59" s="10">
        <v>8</v>
      </c>
      <c r="Q59" s="10">
        <v>8</v>
      </c>
      <c r="R59" s="10">
        <v>8</v>
      </c>
      <c r="S59" s="10">
        <v>8</v>
      </c>
      <c r="T59" s="10">
        <v>8</v>
      </c>
      <c r="U59" s="10">
        <v>8</v>
      </c>
      <c r="V59" s="10">
        <v>8</v>
      </c>
      <c r="W59" s="1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532" hidden="1" customWidth="1"/>
    <col min="2" max="2" width="4.7109375" style="533" hidden="1" customWidth="1"/>
    <col min="3" max="4" width="4.7109375" style="532" hidden="1" customWidth="1"/>
    <col min="5" max="5" width="3" style="532" customWidth="1"/>
    <col min="6" max="6" width="6" style="532" customWidth="1"/>
    <col min="7" max="7" width="18" style="532" customWidth="1"/>
    <col min="8" max="8" width="27" style="532" customWidth="1"/>
    <col min="9" max="9" width="18" style="532" customWidth="1"/>
    <col min="10" max="14" width="0.85546875" style="532" hidden="1" customWidth="1"/>
    <col min="15" max="28" width="21.7109375" style="532" hidden="1" customWidth="1"/>
    <col min="29" max="71" width="0.85546875" style="532" hidden="1" customWidth="1"/>
    <col min="72" max="79" width="21.7109375" style="532" customWidth="1"/>
    <col min="80" max="81" width="29.140625" style="532" customWidth="1"/>
    <col min="82" max="89" width="21.7109375" style="532" customWidth="1"/>
    <col min="90" max="102" width="0.7109375" style="532" customWidth="1"/>
    <col min="103" max="114" width="21.7109375" style="532" hidden="1" customWidth="1"/>
    <col min="115" max="178" width="0.7109375" style="532" hidden="1" customWidth="1"/>
    <col min="179" max="179" width="0.140625" style="532" customWidth="1"/>
    <col min="180" max="184" width="8" style="532" customWidth="1"/>
    <col min="185" max="185" width="9.140625" style="532" hidden="1"/>
  </cols>
  <sheetData>
    <row r="1" spans="2:185" s="530" customFormat="1" ht="12" hidden="1" customHeight="1">
      <c r="B1" s="531"/>
      <c r="GC1" s="530" t="s">
        <v>14</v>
      </c>
    </row>
    <row r="2" spans="2:185" s="530" customFormat="1" ht="12" hidden="1" customHeight="1">
      <c r="B2" s="531"/>
      <c r="GC2" s="530">
        <v>0</v>
      </c>
    </row>
    <row r="3" spans="2:185" s="530" customFormat="1" ht="12" hidden="1" customHeight="1">
      <c r="B3" s="531"/>
      <c r="GC3" s="530">
        <v>0</v>
      </c>
    </row>
    <row r="4" spans="2:185" ht="10.5" customHeight="1">
      <c r="H4" s="55"/>
      <c r="I4" s="55"/>
      <c r="J4" s="55"/>
      <c r="K4" s="55"/>
      <c r="L4" s="55"/>
      <c r="GC4" s="532">
        <v>10</v>
      </c>
    </row>
    <row r="5" spans="2:185" s="301" customFormat="1" ht="27.4" customHeight="1">
      <c r="B5" s="1011"/>
      <c r="E5" s="1012"/>
      <c r="F5" s="14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190"/>
      <c r="AG5" s="1190"/>
      <c r="AH5" s="1190"/>
      <c r="AI5" s="1190"/>
      <c r="AJ5" s="1190"/>
      <c r="AK5" s="1190"/>
      <c r="AL5" s="1190"/>
      <c r="AM5" s="1190"/>
      <c r="AN5" s="1190"/>
      <c r="AO5" s="1190"/>
      <c r="AP5" s="1190"/>
      <c r="AQ5" s="1190"/>
      <c r="AR5" s="1190"/>
      <c r="AS5" s="1190"/>
      <c r="AT5" s="1190"/>
      <c r="AU5" s="1190"/>
      <c r="AV5" s="1190"/>
      <c r="AW5" s="1190"/>
      <c r="AX5" s="1190"/>
      <c r="AY5" s="1190"/>
      <c r="AZ5" s="1190"/>
      <c r="BA5" s="1190"/>
      <c r="BB5" s="1190"/>
      <c r="BC5" s="1190"/>
      <c r="BD5" s="1190"/>
      <c r="BE5" s="1190"/>
      <c r="BF5" s="1190"/>
      <c r="BG5" s="1190"/>
      <c r="BH5" s="1190"/>
      <c r="BI5" s="1190"/>
      <c r="BJ5" s="1190"/>
      <c r="BK5" s="1190"/>
      <c r="BL5" s="1190"/>
      <c r="BM5" s="1190"/>
      <c r="BN5" s="1190"/>
      <c r="BO5" s="1190"/>
      <c r="BP5" s="1190"/>
      <c r="BQ5" s="1190"/>
      <c r="BR5" s="1190"/>
      <c r="BS5" s="1190"/>
      <c r="GC5" s="301">
        <v>26</v>
      </c>
    </row>
    <row r="6" spans="2:185" s="53" customFormat="1" ht="18.75" customHeight="1">
      <c r="B6" s="352"/>
      <c r="E6" s="492"/>
      <c r="F6" s="1258" t="str">
        <f>IF(org=0,"Не определено",org)</f>
        <v>Общество с ограниченной ответственностью "Березовский рудник"</v>
      </c>
      <c r="G6" s="1259"/>
      <c r="H6" s="1259"/>
      <c r="I6" s="1259"/>
      <c r="J6" s="1259"/>
      <c r="K6" s="1259"/>
      <c r="L6" s="1259"/>
      <c r="M6" s="1259"/>
      <c r="N6" s="1259"/>
      <c r="O6" s="1259"/>
      <c r="P6" s="1259"/>
      <c r="Q6" s="1259"/>
      <c r="R6" s="1259"/>
      <c r="S6" s="1259"/>
      <c r="T6" s="1259"/>
      <c r="U6" s="1259"/>
      <c r="V6" s="1259"/>
      <c r="W6" s="1259"/>
      <c r="X6" s="1259"/>
      <c r="Y6" s="1259"/>
      <c r="Z6" s="1259"/>
      <c r="AA6" s="1259"/>
      <c r="AB6" s="1259"/>
      <c r="AC6" s="1259"/>
      <c r="AD6" s="1259"/>
      <c r="AE6" s="1259"/>
      <c r="AF6" s="1259"/>
      <c r="AG6" s="1259"/>
      <c r="AH6" s="1259"/>
      <c r="AI6" s="1259"/>
      <c r="AJ6" s="1259"/>
      <c r="AK6" s="1259"/>
      <c r="AL6" s="1259"/>
      <c r="AM6" s="1259"/>
      <c r="AN6" s="1259"/>
      <c r="AO6" s="1259"/>
      <c r="AP6" s="1259"/>
      <c r="AQ6" s="1259"/>
      <c r="AR6" s="1259"/>
      <c r="AS6" s="1259"/>
      <c r="AT6" s="1259"/>
      <c r="AU6" s="1259"/>
      <c r="AV6" s="1259"/>
      <c r="AW6" s="1259"/>
      <c r="AX6" s="1259"/>
      <c r="AY6" s="1259"/>
      <c r="AZ6" s="1259"/>
      <c r="BA6" s="1259"/>
      <c r="BB6" s="1259"/>
      <c r="BC6" s="1259"/>
      <c r="BD6" s="1259"/>
      <c r="BE6" s="1259"/>
      <c r="BF6" s="1259"/>
      <c r="BG6" s="1259"/>
      <c r="BH6" s="1259"/>
      <c r="BI6" s="1259"/>
      <c r="BJ6" s="1259"/>
      <c r="BK6" s="1259"/>
      <c r="BL6" s="1259"/>
      <c r="BM6" s="1259"/>
      <c r="BN6" s="1259"/>
      <c r="BO6" s="1259"/>
      <c r="BP6" s="1259"/>
      <c r="BQ6" s="1259"/>
      <c r="BR6" s="1259"/>
      <c r="BS6" s="1259"/>
      <c r="GC6" s="53">
        <v>18</v>
      </c>
    </row>
    <row r="7" spans="2:185" s="534" customFormat="1" ht="10.5" customHeight="1">
      <c r="B7" s="535"/>
      <c r="G7" s="536"/>
      <c r="H7" s="55"/>
      <c r="I7" s="55"/>
      <c r="J7" s="55"/>
      <c r="K7" s="55"/>
      <c r="L7" s="55"/>
      <c r="GC7" s="534">
        <v>10</v>
      </c>
    </row>
    <row r="8" spans="2:185" s="534" customFormat="1" ht="11.25" hidden="1" customHeight="1">
      <c r="B8" s="535"/>
      <c r="F8" s="53"/>
      <c r="G8" s="56"/>
      <c r="H8" s="33"/>
      <c r="I8" s="33"/>
      <c r="J8" s="33"/>
      <c r="K8" s="33"/>
      <c r="L8" s="33"/>
      <c r="M8" s="53"/>
      <c r="N8" s="53"/>
      <c r="O8" s="1424" t="s">
        <v>1070</v>
      </c>
      <c r="P8" s="1425"/>
      <c r="Q8" s="1425"/>
      <c r="R8" s="1425"/>
      <c r="S8" s="1425"/>
      <c r="T8" s="1425"/>
      <c r="U8" s="1425"/>
      <c r="V8" s="1425"/>
      <c r="W8" s="1425"/>
      <c r="X8" s="1425"/>
      <c r="Y8" s="1425"/>
      <c r="Z8" s="1425"/>
      <c r="AA8" s="1425"/>
      <c r="AB8" s="1425"/>
      <c r="AC8" s="1425"/>
      <c r="AD8" s="1425"/>
      <c r="AE8" s="1425"/>
      <c r="AF8" s="1425"/>
      <c r="AG8" s="1425"/>
      <c r="AH8" s="1425"/>
      <c r="AI8" s="1425"/>
      <c r="AJ8" s="1425"/>
      <c r="AK8" s="1425"/>
      <c r="AL8" s="1425"/>
      <c r="AM8" s="1425"/>
      <c r="AN8" s="1425"/>
      <c r="AO8" s="1425"/>
      <c r="AP8" s="1425"/>
      <c r="AQ8" s="1425"/>
      <c r="AR8" s="1425"/>
      <c r="AS8" s="1425"/>
      <c r="AT8" s="1425"/>
      <c r="AU8" s="1425"/>
      <c r="AV8" s="1425"/>
      <c r="AW8" s="1425"/>
      <c r="AX8" s="1425"/>
      <c r="AY8" s="1425"/>
      <c r="AZ8" s="1425"/>
      <c r="BA8" s="1425"/>
      <c r="BB8" s="1425"/>
      <c r="BC8" s="1425"/>
      <c r="BD8" s="1425"/>
      <c r="BE8" s="1425"/>
      <c r="BF8" s="1425"/>
      <c r="BG8" s="1425"/>
      <c r="BH8" s="1425"/>
      <c r="BI8" s="1425"/>
      <c r="BJ8" s="1425"/>
      <c r="BK8" s="1425"/>
      <c r="BL8" s="1425"/>
      <c r="BM8" s="1425"/>
      <c r="BN8" s="1425"/>
      <c r="BO8" s="1425"/>
      <c r="BP8" s="1425"/>
      <c r="BQ8" s="1425"/>
      <c r="BR8" s="1425"/>
      <c r="BS8" s="1426"/>
      <c r="BT8" s="1427"/>
      <c r="BU8" s="1428"/>
      <c r="BV8" s="1428"/>
      <c r="BW8" s="1428"/>
      <c r="BX8" s="1428"/>
      <c r="BY8" s="1428"/>
      <c r="BZ8" s="1428"/>
      <c r="CA8" s="1428"/>
      <c r="CB8" s="1428"/>
      <c r="CC8" s="1428"/>
      <c r="CD8" s="1428"/>
      <c r="CE8" s="1428"/>
      <c r="CF8" s="1428"/>
      <c r="CG8" s="1428"/>
      <c r="CH8" s="1428"/>
      <c r="CI8" s="1428"/>
      <c r="CJ8" s="1428"/>
      <c r="CK8" s="1428"/>
      <c r="CL8" s="1428"/>
      <c r="CM8" s="1428"/>
      <c r="CN8" s="1428"/>
      <c r="CO8" s="1428"/>
      <c r="CP8" s="1428"/>
      <c r="CQ8" s="1428"/>
      <c r="CR8" s="1428"/>
      <c r="CS8" s="1428"/>
      <c r="CT8" s="1428"/>
      <c r="CU8" s="1428"/>
      <c r="CV8" s="1428"/>
      <c r="CW8" s="1428"/>
      <c r="CX8" s="1429"/>
      <c r="CY8" s="1430"/>
      <c r="CZ8" s="1431"/>
      <c r="DA8" s="1431"/>
      <c r="DB8" s="1431"/>
      <c r="DC8" s="1431"/>
      <c r="DD8" s="1431"/>
      <c r="DE8" s="1431"/>
      <c r="DF8" s="1431"/>
      <c r="DG8" s="1431"/>
      <c r="DH8" s="1431"/>
      <c r="DI8" s="1431"/>
      <c r="DJ8" s="1431"/>
      <c r="DK8" s="1431"/>
      <c r="DL8" s="1431"/>
      <c r="DM8" s="1431"/>
      <c r="DN8" s="1431"/>
      <c r="DO8" s="1431"/>
      <c r="DP8" s="1431"/>
      <c r="DQ8" s="1431"/>
      <c r="DR8" s="1431"/>
      <c r="DS8" s="1431"/>
      <c r="DT8" s="1431"/>
      <c r="DU8" s="1431"/>
      <c r="DV8" s="1431"/>
      <c r="DW8" s="1431"/>
      <c r="DX8" s="1432"/>
      <c r="DY8" s="1418" t="s">
        <v>1071</v>
      </c>
      <c r="DZ8" s="1419"/>
      <c r="EA8" s="1419"/>
      <c r="EB8" s="1419"/>
      <c r="EC8" s="1419"/>
      <c r="ED8" s="1419"/>
      <c r="EE8" s="1419"/>
      <c r="EF8" s="1419"/>
      <c r="EG8" s="1419"/>
      <c r="EH8" s="1419"/>
      <c r="EI8" s="1419"/>
      <c r="EJ8" s="1419"/>
      <c r="EK8" s="1419"/>
      <c r="EL8" s="1419"/>
      <c r="EM8" s="1419"/>
      <c r="EN8" s="1419"/>
      <c r="EO8" s="1419"/>
      <c r="EP8" s="1419"/>
      <c r="EQ8" s="1419"/>
      <c r="ER8" s="1419"/>
      <c r="ES8" s="1419"/>
      <c r="ET8" s="1419"/>
      <c r="EU8" s="1419"/>
      <c r="EV8" s="1419"/>
      <c r="EW8" s="1419"/>
      <c r="EX8" s="1419"/>
      <c r="EY8" s="1419"/>
      <c r="EZ8" s="1419"/>
      <c r="FA8" s="1419"/>
      <c r="FB8" s="1419"/>
      <c r="FC8" s="1419"/>
      <c r="FD8" s="1419"/>
      <c r="FE8" s="1419"/>
      <c r="FF8" s="1419"/>
      <c r="FG8" s="1419"/>
      <c r="FH8" s="1419"/>
      <c r="FI8" s="1419"/>
      <c r="FJ8" s="1419"/>
      <c r="FK8" s="1419"/>
      <c r="FL8" s="1419"/>
      <c r="FM8" s="1419"/>
      <c r="FN8" s="1419"/>
      <c r="FO8" s="1419"/>
      <c r="FP8" s="1419"/>
      <c r="FQ8" s="1419"/>
      <c r="FR8" s="1419"/>
      <c r="FS8" s="1419"/>
      <c r="FT8" s="1419"/>
      <c r="FU8" s="1419"/>
      <c r="FV8" s="1419"/>
      <c r="FW8" s="1420"/>
      <c r="FX8" s="53"/>
      <c r="GC8" s="534">
        <v>0</v>
      </c>
    </row>
    <row r="9" spans="2:185" s="534" customFormat="1" ht="11.25" hidden="1" customHeight="1">
      <c r="B9" s="535"/>
      <c r="F9" s="53"/>
      <c r="G9" s="56"/>
      <c r="H9" s="33"/>
      <c r="I9" s="33"/>
      <c r="J9" s="33"/>
      <c r="K9" s="33"/>
      <c r="L9" s="3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1421"/>
      <c r="FX9" s="53"/>
      <c r="GC9" s="534">
        <v>0</v>
      </c>
    </row>
    <row r="10" spans="2:185" s="534" customFormat="1" ht="11.45" customHeight="1">
      <c r="B10" s="535"/>
      <c r="F10" s="1398" t="s">
        <v>300</v>
      </c>
      <c r="G10" s="1434"/>
      <c r="H10" s="1434"/>
      <c r="I10" s="1434"/>
      <c r="J10" s="1434"/>
      <c r="K10" s="1434"/>
      <c r="L10" s="1434"/>
      <c r="M10" s="1434"/>
      <c r="N10" s="1434"/>
      <c r="O10" s="1434"/>
      <c r="P10" s="1434"/>
      <c r="Q10" s="1434"/>
      <c r="R10" s="1434"/>
      <c r="S10" s="1434"/>
      <c r="T10" s="1434"/>
      <c r="U10" s="1434"/>
      <c r="V10" s="1434"/>
      <c r="W10" s="1434"/>
      <c r="X10" s="1434"/>
      <c r="Y10" s="1434"/>
      <c r="Z10" s="1434"/>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5"/>
      <c r="FW10" s="1421"/>
      <c r="FX10" s="53"/>
      <c r="GC10" s="534">
        <v>11</v>
      </c>
    </row>
    <row r="11" spans="2:185" ht="12.75" customHeight="1">
      <c r="E11" s="537"/>
      <c r="F11" s="1240" t="s">
        <v>86</v>
      </c>
      <c r="G11" s="1240" t="s">
        <v>1072</v>
      </c>
      <c r="H11" s="1240" t="s">
        <v>1073</v>
      </c>
      <c r="I11" s="1240" t="s">
        <v>1074</v>
      </c>
      <c r="J11" s="1433"/>
      <c r="K11" s="1433"/>
      <c r="L11" s="1433"/>
      <c r="M11" s="1433"/>
      <c r="N11" s="1433"/>
      <c r="O11" s="1244" t="s">
        <v>1075</v>
      </c>
      <c r="P11" s="1244"/>
      <c r="Q11" s="1244"/>
      <c r="R11" s="1244"/>
      <c r="S11" s="1244"/>
      <c r="T11" s="1244"/>
      <c r="U11" s="1244"/>
      <c r="V11" s="1244"/>
      <c r="W11" s="1244"/>
      <c r="X11" s="1244"/>
      <c r="Y11" s="1244"/>
      <c r="Z11" s="1244"/>
      <c r="AA11" s="1244"/>
      <c r="AB11" s="1244"/>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7"/>
      <c r="BT11" s="1384" t="s">
        <v>1075</v>
      </c>
      <c r="BU11" s="1385"/>
      <c r="BV11" s="1385"/>
      <c r="BW11" s="1385"/>
      <c r="BX11" s="1385"/>
      <c r="BY11" s="1385"/>
      <c r="BZ11" s="1385"/>
      <c r="CA11" s="1385"/>
      <c r="CB11" s="1385"/>
      <c r="CC11" s="1385"/>
      <c r="CD11" s="1385"/>
      <c r="CE11" s="1385"/>
      <c r="CF11" s="1385"/>
      <c r="CG11" s="1385"/>
      <c r="CH11" s="1385"/>
      <c r="CI11" s="1385"/>
      <c r="CJ11" s="1385"/>
      <c r="CK11" s="1415"/>
      <c r="CL11" s="1423"/>
      <c r="CM11" s="1416"/>
      <c r="CN11" s="1416"/>
      <c r="CO11" s="1416"/>
      <c r="CP11" s="1416"/>
      <c r="CQ11" s="1416"/>
      <c r="CR11" s="1416"/>
      <c r="CS11" s="1416"/>
      <c r="CT11" s="1416"/>
      <c r="CU11" s="1416"/>
      <c r="CV11" s="1416"/>
      <c r="CW11" s="1416"/>
      <c r="CX11" s="1417"/>
      <c r="CY11" s="1384" t="s">
        <v>1075</v>
      </c>
      <c r="CZ11" s="1385"/>
      <c r="DA11" s="1385"/>
      <c r="DB11" s="1385"/>
      <c r="DC11" s="1385"/>
      <c r="DD11" s="1385"/>
      <c r="DE11" s="1385"/>
      <c r="DF11" s="1385"/>
      <c r="DG11" s="1385"/>
      <c r="DH11" s="1385"/>
      <c r="DI11" s="1385"/>
      <c r="DJ11" s="1415"/>
      <c r="DK11" s="1423"/>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21"/>
      <c r="FX11" s="32"/>
      <c r="GC11" s="532">
        <v>12</v>
      </c>
    </row>
    <row r="12" spans="2:185" ht="12.75" customHeight="1">
      <c r="D12" s="55"/>
      <c r="E12" s="537"/>
      <c r="F12" s="1240"/>
      <c r="G12" s="1240"/>
      <c r="H12" s="1240"/>
      <c r="I12" s="1240"/>
      <c r="J12" s="1433"/>
      <c r="K12" s="1433"/>
      <c r="L12" s="1433"/>
      <c r="M12" s="1433"/>
      <c r="N12" s="1433"/>
      <c r="O12" s="1244" t="s">
        <v>1076</v>
      </c>
      <c r="P12" s="1244"/>
      <c r="Q12" s="1244"/>
      <c r="R12" s="1244"/>
      <c r="S12" s="1244" t="s">
        <v>1077</v>
      </c>
      <c r="T12" s="1244"/>
      <c r="U12" s="1244"/>
      <c r="V12" s="1244"/>
      <c r="W12" s="1244"/>
      <c r="X12" s="1244"/>
      <c r="Y12" s="1244"/>
      <c r="Z12" s="1244"/>
      <c r="AA12" s="1244"/>
      <c r="AB12" s="1244"/>
      <c r="AC12" s="1416"/>
      <c r="AD12" s="1416"/>
      <c r="AE12" s="1416"/>
      <c r="AF12" s="1416"/>
      <c r="AG12" s="1416"/>
      <c r="AH12" s="1416"/>
      <c r="AI12" s="1416"/>
      <c r="AJ12" s="1416"/>
      <c r="AK12" s="1416"/>
      <c r="AL12" s="1416"/>
      <c r="AM12" s="1416"/>
      <c r="AN12" s="1416"/>
      <c r="AO12" s="1416"/>
      <c r="AP12" s="1416"/>
      <c r="AQ12" s="1416"/>
      <c r="AR12" s="1416"/>
      <c r="AS12" s="1416"/>
      <c r="AT12" s="1416"/>
      <c r="AU12" s="1416"/>
      <c r="AV12" s="1416"/>
      <c r="AW12" s="1416"/>
      <c r="AX12" s="1416"/>
      <c r="AY12" s="1416"/>
      <c r="AZ12" s="1416"/>
      <c r="BA12" s="1416"/>
      <c r="BB12" s="1416"/>
      <c r="BC12" s="1416"/>
      <c r="BD12" s="1416"/>
      <c r="BE12" s="1416"/>
      <c r="BF12" s="1416"/>
      <c r="BG12" s="1416"/>
      <c r="BH12" s="1416"/>
      <c r="BI12" s="1416"/>
      <c r="BJ12" s="1416"/>
      <c r="BK12" s="1416"/>
      <c r="BL12" s="1416"/>
      <c r="BM12" s="1416"/>
      <c r="BN12" s="1416"/>
      <c r="BO12" s="1416"/>
      <c r="BP12" s="1416"/>
      <c r="BQ12" s="1416"/>
      <c r="BR12" s="1416"/>
      <c r="BS12" s="1417"/>
      <c r="BT12" s="1384" t="s">
        <v>1078</v>
      </c>
      <c r="BU12" s="1385"/>
      <c r="BV12" s="1385"/>
      <c r="BW12" s="1415"/>
      <c r="BX12" s="1384" t="s">
        <v>1079</v>
      </c>
      <c r="BY12" s="1385"/>
      <c r="BZ12" s="1385"/>
      <c r="CA12" s="1415"/>
      <c r="CB12" s="1384" t="s">
        <v>1080</v>
      </c>
      <c r="CC12" s="1415"/>
      <c r="CD12" s="1384" t="s">
        <v>1081</v>
      </c>
      <c r="CE12" s="1385"/>
      <c r="CF12" s="1385"/>
      <c r="CG12" s="1385"/>
      <c r="CH12" s="1385"/>
      <c r="CI12" s="1385"/>
      <c r="CJ12" s="1385"/>
      <c r="CK12" s="1415"/>
      <c r="CL12" s="1423"/>
      <c r="CM12" s="1416"/>
      <c r="CN12" s="1416"/>
      <c r="CO12" s="1416"/>
      <c r="CP12" s="1416"/>
      <c r="CQ12" s="1416"/>
      <c r="CR12" s="1416"/>
      <c r="CS12" s="1416"/>
      <c r="CT12" s="1416"/>
      <c r="CU12" s="1416"/>
      <c r="CV12" s="1416"/>
      <c r="CW12" s="1416"/>
      <c r="CX12" s="1417"/>
      <c r="CY12" s="1384" t="s">
        <v>1082</v>
      </c>
      <c r="CZ12" s="1385"/>
      <c r="DA12" s="1385"/>
      <c r="DB12" s="1385"/>
      <c r="DC12" s="1385"/>
      <c r="DD12" s="1415"/>
      <c r="DE12" s="1384" t="s">
        <v>1083</v>
      </c>
      <c r="DF12" s="1415"/>
      <c r="DG12" s="1384" t="s">
        <v>1081</v>
      </c>
      <c r="DH12" s="1385"/>
      <c r="DI12" s="1385"/>
      <c r="DJ12" s="1415"/>
      <c r="DK12" s="1423"/>
      <c r="DL12" s="1416"/>
      <c r="DM12" s="1416"/>
      <c r="DN12" s="1416"/>
      <c r="DO12" s="1416"/>
      <c r="DP12" s="1416"/>
      <c r="DQ12" s="1416"/>
      <c r="DR12" s="1416"/>
      <c r="DS12" s="1416"/>
      <c r="DT12" s="1416"/>
      <c r="DU12" s="1416"/>
      <c r="DV12" s="1416"/>
      <c r="DW12" s="1416"/>
      <c r="DX12" s="1416"/>
      <c r="DY12" s="1416"/>
      <c r="DZ12" s="1416"/>
      <c r="EA12" s="1416"/>
      <c r="EB12" s="1416"/>
      <c r="EC12" s="1416"/>
      <c r="ED12" s="1416"/>
      <c r="EE12" s="1416"/>
      <c r="EF12" s="1416"/>
      <c r="EG12" s="1416"/>
      <c r="EH12" s="1416"/>
      <c r="EI12" s="1416"/>
      <c r="EJ12" s="1416"/>
      <c r="EK12" s="1416"/>
      <c r="EL12" s="1416"/>
      <c r="EM12" s="1416"/>
      <c r="EN12" s="1416"/>
      <c r="EO12" s="1416"/>
      <c r="EP12" s="1416"/>
      <c r="EQ12" s="1416"/>
      <c r="ER12" s="1416"/>
      <c r="ES12" s="1416"/>
      <c r="ET12" s="1416"/>
      <c r="EU12" s="1416"/>
      <c r="EV12" s="1416"/>
      <c r="EW12" s="1416"/>
      <c r="EX12" s="1416"/>
      <c r="EY12" s="1416"/>
      <c r="EZ12" s="1416"/>
      <c r="FA12" s="1416"/>
      <c r="FB12" s="1416"/>
      <c r="FC12" s="1416"/>
      <c r="FD12" s="1416"/>
      <c r="FE12" s="1416"/>
      <c r="FF12" s="1416"/>
      <c r="FG12" s="1416"/>
      <c r="FH12" s="1416"/>
      <c r="FI12" s="1416"/>
      <c r="FJ12" s="1416"/>
      <c r="FK12" s="1416"/>
      <c r="FL12" s="1416"/>
      <c r="FM12" s="1416"/>
      <c r="FN12" s="1416"/>
      <c r="FO12" s="1416"/>
      <c r="FP12" s="1416"/>
      <c r="FQ12" s="1416"/>
      <c r="FR12" s="1416"/>
      <c r="FS12" s="1416"/>
      <c r="FT12" s="1416"/>
      <c r="FU12" s="1416"/>
      <c r="FV12" s="1416"/>
      <c r="FW12" s="1421"/>
      <c r="FX12" s="32"/>
      <c r="GC12" s="532">
        <v>12</v>
      </c>
    </row>
    <row r="13" spans="2:185" ht="37.9" customHeight="1">
      <c r="D13" s="55"/>
      <c r="E13" s="537"/>
      <c r="F13" s="1240"/>
      <c r="G13" s="1240"/>
      <c r="H13" s="1240"/>
      <c r="I13" s="1240"/>
      <c r="J13" s="1433"/>
      <c r="K13" s="1433"/>
      <c r="L13" s="1433"/>
      <c r="M13" s="1433"/>
      <c r="N13" s="1433"/>
      <c r="O13" s="1244" t="s">
        <v>1084</v>
      </c>
      <c r="P13" s="1244"/>
      <c r="Q13" s="1244"/>
      <c r="R13" s="1244"/>
      <c r="S13" s="1345" t="s">
        <v>1085</v>
      </c>
      <c r="T13" s="1386"/>
      <c r="U13" s="1146" t="s">
        <v>1086</v>
      </c>
      <c r="V13" s="1146"/>
      <c r="W13" s="1146"/>
      <c r="X13" s="1146"/>
      <c r="Y13" s="1146" t="s">
        <v>1087</v>
      </c>
      <c r="Z13" s="1146"/>
      <c r="AA13" s="1146"/>
      <c r="AB13" s="1146"/>
      <c r="AC13" s="1416"/>
      <c r="AD13" s="1416"/>
      <c r="AE13" s="1416"/>
      <c r="AF13" s="1416"/>
      <c r="AG13" s="1416"/>
      <c r="AH13" s="1416"/>
      <c r="AI13" s="1416"/>
      <c r="AJ13" s="1416"/>
      <c r="AK13" s="1416"/>
      <c r="AL13" s="1416"/>
      <c r="AM13" s="1416"/>
      <c r="AN13" s="1416"/>
      <c r="AO13" s="1416"/>
      <c r="AP13" s="1416"/>
      <c r="AQ13" s="1416"/>
      <c r="AR13" s="1416"/>
      <c r="AS13" s="1416"/>
      <c r="AT13" s="1416"/>
      <c r="AU13" s="1416"/>
      <c r="AV13" s="1416"/>
      <c r="AW13" s="1416"/>
      <c r="AX13" s="1416"/>
      <c r="AY13" s="1416"/>
      <c r="AZ13" s="1416"/>
      <c r="BA13" s="1416"/>
      <c r="BB13" s="1416"/>
      <c r="BC13" s="1416"/>
      <c r="BD13" s="1416"/>
      <c r="BE13" s="1416"/>
      <c r="BF13" s="1416"/>
      <c r="BG13" s="1416"/>
      <c r="BH13" s="1416"/>
      <c r="BI13" s="1416"/>
      <c r="BJ13" s="1416"/>
      <c r="BK13" s="1416"/>
      <c r="BL13" s="1416"/>
      <c r="BM13" s="1416"/>
      <c r="BN13" s="1416"/>
      <c r="BO13" s="1416"/>
      <c r="BP13" s="1416"/>
      <c r="BQ13" s="1416"/>
      <c r="BR13" s="1416"/>
      <c r="BS13" s="1417"/>
      <c r="BT13" s="1345" t="s">
        <v>1088</v>
      </c>
      <c r="BU13" s="1386"/>
      <c r="BV13" s="1345" t="s">
        <v>1089</v>
      </c>
      <c r="BW13" s="1386"/>
      <c r="BX13" s="1345" t="s">
        <v>1090</v>
      </c>
      <c r="BY13" s="1386"/>
      <c r="BZ13" s="1345" t="s">
        <v>1091</v>
      </c>
      <c r="CA13" s="1386"/>
      <c r="CB13" s="1345" t="s">
        <v>1092</v>
      </c>
      <c r="CC13" s="1386"/>
      <c r="CD13" s="1345" t="s">
        <v>1093</v>
      </c>
      <c r="CE13" s="1386"/>
      <c r="CF13" s="1345" t="s">
        <v>1094</v>
      </c>
      <c r="CG13" s="1386"/>
      <c r="CH13" s="1384" t="s">
        <v>1095</v>
      </c>
      <c r="CI13" s="1385"/>
      <c r="CJ13" s="1385"/>
      <c r="CK13" s="1415"/>
      <c r="CL13" s="1423"/>
      <c r="CM13" s="1416"/>
      <c r="CN13" s="1416"/>
      <c r="CO13" s="1416"/>
      <c r="CP13" s="1416"/>
      <c r="CQ13" s="1416"/>
      <c r="CR13" s="1416"/>
      <c r="CS13" s="1416"/>
      <c r="CT13" s="1416"/>
      <c r="CU13" s="1416"/>
      <c r="CV13" s="1416"/>
      <c r="CW13" s="1416"/>
      <c r="CX13" s="1417"/>
      <c r="CY13" s="1345" t="s">
        <v>1096</v>
      </c>
      <c r="CZ13" s="1386"/>
      <c r="DA13" s="1345" t="s">
        <v>1097</v>
      </c>
      <c r="DB13" s="1386"/>
      <c r="DC13" s="1345" t="s">
        <v>1098</v>
      </c>
      <c r="DD13" s="1386"/>
      <c r="DE13" s="1345" t="s">
        <v>1099</v>
      </c>
      <c r="DF13" s="1386"/>
      <c r="DG13" s="1384" t="s">
        <v>1100</v>
      </c>
      <c r="DH13" s="1385"/>
      <c r="DI13" s="1385"/>
      <c r="DJ13" s="1415"/>
      <c r="DK13" s="1423"/>
      <c r="DL13" s="1416"/>
      <c r="DM13" s="1416"/>
      <c r="DN13" s="1416"/>
      <c r="DO13" s="1416"/>
      <c r="DP13" s="1416"/>
      <c r="DQ13" s="1416"/>
      <c r="DR13" s="1416"/>
      <c r="DS13" s="1416"/>
      <c r="DT13" s="1416"/>
      <c r="DU13" s="1416"/>
      <c r="DV13" s="1416"/>
      <c r="DW13" s="1416"/>
      <c r="DX13" s="1416"/>
      <c r="DY13" s="1416"/>
      <c r="DZ13" s="1416"/>
      <c r="EA13" s="1416"/>
      <c r="EB13" s="1416"/>
      <c r="EC13" s="1416"/>
      <c r="ED13" s="1416"/>
      <c r="EE13" s="1416"/>
      <c r="EF13" s="1416"/>
      <c r="EG13" s="1416"/>
      <c r="EH13" s="1416"/>
      <c r="EI13" s="1416"/>
      <c r="EJ13" s="1416"/>
      <c r="EK13" s="1416"/>
      <c r="EL13" s="1416"/>
      <c r="EM13" s="1416"/>
      <c r="EN13" s="1416"/>
      <c r="EO13" s="1416"/>
      <c r="EP13" s="1416"/>
      <c r="EQ13" s="1416"/>
      <c r="ER13" s="1416"/>
      <c r="ES13" s="1416"/>
      <c r="ET13" s="1416"/>
      <c r="EU13" s="1416"/>
      <c r="EV13" s="1416"/>
      <c r="EW13" s="1416"/>
      <c r="EX13" s="1416"/>
      <c r="EY13" s="1416"/>
      <c r="EZ13" s="1416"/>
      <c r="FA13" s="1416"/>
      <c r="FB13" s="1416"/>
      <c r="FC13" s="1416"/>
      <c r="FD13" s="1416"/>
      <c r="FE13" s="1416"/>
      <c r="FF13" s="1416"/>
      <c r="FG13" s="1416"/>
      <c r="FH13" s="1416"/>
      <c r="FI13" s="1416"/>
      <c r="FJ13" s="1416"/>
      <c r="FK13" s="1416"/>
      <c r="FL13" s="1416"/>
      <c r="FM13" s="1416"/>
      <c r="FN13" s="1416"/>
      <c r="FO13" s="1416"/>
      <c r="FP13" s="1416"/>
      <c r="FQ13" s="1416"/>
      <c r="FR13" s="1416"/>
      <c r="FS13" s="1416"/>
      <c r="FT13" s="1416"/>
      <c r="FU13" s="1416"/>
      <c r="FV13" s="1416"/>
      <c r="FW13" s="1421"/>
      <c r="FX13" s="32"/>
      <c r="GC13" s="532">
        <v>36</v>
      </c>
    </row>
    <row r="14" spans="2:185" ht="37.9" customHeight="1">
      <c r="D14" s="55"/>
      <c r="E14" s="537"/>
      <c r="F14" s="1240"/>
      <c r="G14" s="1240"/>
      <c r="H14" s="1240"/>
      <c r="I14" s="1240"/>
      <c r="J14" s="1433"/>
      <c r="K14" s="1433"/>
      <c r="L14" s="1433"/>
      <c r="M14" s="1433"/>
      <c r="N14" s="1433"/>
      <c r="O14" s="1345" t="s">
        <v>1101</v>
      </c>
      <c r="P14" s="1386"/>
      <c r="Q14" s="1345" t="s">
        <v>1102</v>
      </c>
      <c r="R14" s="1386"/>
      <c r="S14" s="1346"/>
      <c r="T14" s="1248"/>
      <c r="U14" s="1345" t="s">
        <v>834</v>
      </c>
      <c r="V14" s="1386"/>
      <c r="W14" s="1345" t="s">
        <v>837</v>
      </c>
      <c r="X14" s="1386"/>
      <c r="Y14" s="1345" t="s">
        <v>834</v>
      </c>
      <c r="Z14" s="1386"/>
      <c r="AA14" s="1345" t="s">
        <v>844</v>
      </c>
      <c r="AB14" s="1386"/>
      <c r="AC14" s="1416"/>
      <c r="AD14" s="1416"/>
      <c r="AE14" s="1416"/>
      <c r="AF14" s="1416"/>
      <c r="AG14" s="1416"/>
      <c r="AH14" s="1416"/>
      <c r="AI14" s="1416"/>
      <c r="AJ14" s="1416"/>
      <c r="AK14" s="1416"/>
      <c r="AL14" s="1416"/>
      <c r="AM14" s="1416"/>
      <c r="AN14" s="1416"/>
      <c r="AO14" s="1416"/>
      <c r="AP14" s="1416"/>
      <c r="AQ14" s="1416"/>
      <c r="AR14" s="1416"/>
      <c r="AS14" s="1416"/>
      <c r="AT14" s="1416"/>
      <c r="AU14" s="1416"/>
      <c r="AV14" s="1416"/>
      <c r="AW14" s="1416"/>
      <c r="AX14" s="1416"/>
      <c r="AY14" s="1416"/>
      <c r="AZ14" s="1416"/>
      <c r="BA14" s="1416"/>
      <c r="BB14" s="1416"/>
      <c r="BC14" s="1416"/>
      <c r="BD14" s="1416"/>
      <c r="BE14" s="1416"/>
      <c r="BF14" s="1416"/>
      <c r="BG14" s="1416"/>
      <c r="BH14" s="1416"/>
      <c r="BI14" s="1416"/>
      <c r="BJ14" s="1416"/>
      <c r="BK14" s="1416"/>
      <c r="BL14" s="1416"/>
      <c r="BM14" s="1416"/>
      <c r="BN14" s="1416"/>
      <c r="BO14" s="1416"/>
      <c r="BP14" s="1416"/>
      <c r="BQ14" s="1416"/>
      <c r="BR14" s="1416"/>
      <c r="BS14" s="1417"/>
      <c r="BT14" s="1346"/>
      <c r="BU14" s="1248"/>
      <c r="BV14" s="1346"/>
      <c r="BW14" s="1248"/>
      <c r="BX14" s="1346"/>
      <c r="BY14" s="1248"/>
      <c r="BZ14" s="1346"/>
      <c r="CA14" s="1248"/>
      <c r="CB14" s="1346"/>
      <c r="CC14" s="1248"/>
      <c r="CD14" s="1346"/>
      <c r="CE14" s="1248"/>
      <c r="CF14" s="1346"/>
      <c r="CG14" s="1248"/>
      <c r="CH14" s="1345" t="s">
        <v>1103</v>
      </c>
      <c r="CI14" s="1386"/>
      <c r="CJ14" s="1345" t="s">
        <v>1104</v>
      </c>
      <c r="CK14" s="1386"/>
      <c r="CL14" s="1423"/>
      <c r="CM14" s="1416"/>
      <c r="CN14" s="1416"/>
      <c r="CO14" s="1416"/>
      <c r="CP14" s="1416"/>
      <c r="CQ14" s="1416"/>
      <c r="CR14" s="1416"/>
      <c r="CS14" s="1416"/>
      <c r="CT14" s="1416"/>
      <c r="CU14" s="1416"/>
      <c r="CV14" s="1416"/>
      <c r="CW14" s="1416"/>
      <c r="CX14" s="1417"/>
      <c r="CY14" s="1346"/>
      <c r="CZ14" s="1248"/>
      <c r="DA14" s="1346"/>
      <c r="DB14" s="1248"/>
      <c r="DC14" s="1346"/>
      <c r="DD14" s="1248"/>
      <c r="DE14" s="1346"/>
      <c r="DF14" s="1248"/>
      <c r="DG14" s="1345" t="s">
        <v>1105</v>
      </c>
      <c r="DH14" s="1386"/>
      <c r="DI14" s="1345" t="s">
        <v>1106</v>
      </c>
      <c r="DJ14" s="1386"/>
      <c r="DK14" s="1423"/>
      <c r="DL14" s="1416"/>
      <c r="DM14" s="1416"/>
      <c r="DN14" s="1416"/>
      <c r="DO14" s="1416"/>
      <c r="DP14" s="1416"/>
      <c r="DQ14" s="1416"/>
      <c r="DR14" s="1416"/>
      <c r="DS14" s="1416"/>
      <c r="DT14" s="1416"/>
      <c r="DU14" s="1416"/>
      <c r="DV14" s="1416"/>
      <c r="DW14" s="1416"/>
      <c r="DX14" s="1416"/>
      <c r="DY14" s="1416"/>
      <c r="DZ14" s="1416"/>
      <c r="EA14" s="1416"/>
      <c r="EB14" s="1416"/>
      <c r="EC14" s="1416"/>
      <c r="ED14" s="1416"/>
      <c r="EE14" s="1416"/>
      <c r="EF14" s="1416"/>
      <c r="EG14" s="1416"/>
      <c r="EH14" s="1416"/>
      <c r="EI14" s="1416"/>
      <c r="EJ14" s="1416"/>
      <c r="EK14" s="1416"/>
      <c r="EL14" s="1416"/>
      <c r="EM14" s="1416"/>
      <c r="EN14" s="1416"/>
      <c r="EO14" s="1416"/>
      <c r="EP14" s="1416"/>
      <c r="EQ14" s="1416"/>
      <c r="ER14" s="1416"/>
      <c r="ES14" s="1416"/>
      <c r="ET14" s="1416"/>
      <c r="EU14" s="1416"/>
      <c r="EV14" s="1416"/>
      <c r="EW14" s="1416"/>
      <c r="EX14" s="1416"/>
      <c r="EY14" s="1416"/>
      <c r="EZ14" s="1416"/>
      <c r="FA14" s="1416"/>
      <c r="FB14" s="1416"/>
      <c r="FC14" s="1416"/>
      <c r="FD14" s="1416"/>
      <c r="FE14" s="1416"/>
      <c r="FF14" s="1416"/>
      <c r="FG14" s="1416"/>
      <c r="FH14" s="1416"/>
      <c r="FI14" s="1416"/>
      <c r="FJ14" s="1416"/>
      <c r="FK14" s="1416"/>
      <c r="FL14" s="1416"/>
      <c r="FM14" s="1416"/>
      <c r="FN14" s="1416"/>
      <c r="FO14" s="1416"/>
      <c r="FP14" s="1416"/>
      <c r="FQ14" s="1416"/>
      <c r="FR14" s="1416"/>
      <c r="FS14" s="1416"/>
      <c r="FT14" s="1416"/>
      <c r="FU14" s="1416"/>
      <c r="FV14" s="1416"/>
      <c r="FW14" s="1421"/>
      <c r="FX14" s="32"/>
      <c r="GC14" s="532">
        <v>36</v>
      </c>
    </row>
    <row r="15" spans="2:185" ht="37.9" customHeight="1">
      <c r="D15" s="55"/>
      <c r="E15" s="537"/>
      <c r="F15" s="1240"/>
      <c r="G15" s="1240"/>
      <c r="H15" s="1240"/>
      <c r="I15" s="1240"/>
      <c r="J15" s="1433"/>
      <c r="K15" s="1433"/>
      <c r="L15" s="1433"/>
      <c r="M15" s="1433"/>
      <c r="N15" s="1433"/>
      <c r="O15" s="1347"/>
      <c r="P15" s="1402"/>
      <c r="Q15" s="1347"/>
      <c r="R15" s="1402"/>
      <c r="S15" s="1347"/>
      <c r="T15" s="1402"/>
      <c r="U15" s="1347"/>
      <c r="V15" s="1402"/>
      <c r="W15" s="1347"/>
      <c r="X15" s="1402"/>
      <c r="Y15" s="1347"/>
      <c r="Z15" s="1402"/>
      <c r="AA15" s="1347"/>
      <c r="AB15" s="1402"/>
      <c r="AC15" s="1416"/>
      <c r="AD15" s="1416"/>
      <c r="AE15" s="1416"/>
      <c r="AF15" s="1416"/>
      <c r="AG15" s="1416"/>
      <c r="AH15" s="1416"/>
      <c r="AI15" s="1416"/>
      <c r="AJ15" s="1416"/>
      <c r="AK15" s="1416"/>
      <c r="AL15" s="1416"/>
      <c r="AM15" s="1416"/>
      <c r="AN15" s="1416"/>
      <c r="AO15" s="1416"/>
      <c r="AP15" s="1416"/>
      <c r="AQ15" s="1416"/>
      <c r="AR15" s="1416"/>
      <c r="AS15" s="1416"/>
      <c r="AT15" s="1416"/>
      <c r="AU15" s="1416"/>
      <c r="AV15" s="1416"/>
      <c r="AW15" s="1416"/>
      <c r="AX15" s="1416"/>
      <c r="AY15" s="1416"/>
      <c r="AZ15" s="1416"/>
      <c r="BA15" s="1416"/>
      <c r="BB15" s="1416"/>
      <c r="BC15" s="1416"/>
      <c r="BD15" s="1416"/>
      <c r="BE15" s="1416"/>
      <c r="BF15" s="1416"/>
      <c r="BG15" s="1416"/>
      <c r="BH15" s="1416"/>
      <c r="BI15" s="1416"/>
      <c r="BJ15" s="1416"/>
      <c r="BK15" s="1416"/>
      <c r="BL15" s="1416"/>
      <c r="BM15" s="1416"/>
      <c r="BN15" s="1416"/>
      <c r="BO15" s="1416"/>
      <c r="BP15" s="1416"/>
      <c r="BQ15" s="1416"/>
      <c r="BR15" s="1416"/>
      <c r="BS15" s="1417"/>
      <c r="BT15" s="1347"/>
      <c r="BU15" s="1402"/>
      <c r="BV15" s="1347"/>
      <c r="BW15" s="1402"/>
      <c r="BX15" s="1347"/>
      <c r="BY15" s="1402"/>
      <c r="BZ15" s="1347"/>
      <c r="CA15" s="1402"/>
      <c r="CB15" s="1347"/>
      <c r="CC15" s="1402"/>
      <c r="CD15" s="1347"/>
      <c r="CE15" s="1402"/>
      <c r="CF15" s="1347"/>
      <c r="CG15" s="1402"/>
      <c r="CH15" s="1347"/>
      <c r="CI15" s="1402"/>
      <c r="CJ15" s="1347"/>
      <c r="CK15" s="1402"/>
      <c r="CL15" s="1423"/>
      <c r="CM15" s="1416"/>
      <c r="CN15" s="1416"/>
      <c r="CO15" s="1416"/>
      <c r="CP15" s="1416"/>
      <c r="CQ15" s="1416"/>
      <c r="CR15" s="1416"/>
      <c r="CS15" s="1416"/>
      <c r="CT15" s="1416"/>
      <c r="CU15" s="1416"/>
      <c r="CV15" s="1416"/>
      <c r="CW15" s="1416"/>
      <c r="CX15" s="1417"/>
      <c r="CY15" s="1347"/>
      <c r="CZ15" s="1402"/>
      <c r="DA15" s="1347"/>
      <c r="DB15" s="1402"/>
      <c r="DC15" s="1347"/>
      <c r="DD15" s="1402"/>
      <c r="DE15" s="1347"/>
      <c r="DF15" s="1402"/>
      <c r="DG15" s="1347"/>
      <c r="DH15" s="1402"/>
      <c r="DI15" s="1347"/>
      <c r="DJ15" s="1402"/>
      <c r="DK15" s="1423"/>
      <c r="DL15" s="1416"/>
      <c r="DM15" s="1416"/>
      <c r="DN15" s="1416"/>
      <c r="DO15" s="1416"/>
      <c r="DP15" s="1416"/>
      <c r="DQ15" s="1416"/>
      <c r="DR15" s="1416"/>
      <c r="DS15" s="1416"/>
      <c r="DT15" s="1416"/>
      <c r="DU15" s="1416"/>
      <c r="DV15" s="1416"/>
      <c r="DW15" s="1416"/>
      <c r="DX15" s="1416"/>
      <c r="DY15" s="1416"/>
      <c r="DZ15" s="1416"/>
      <c r="EA15" s="1416"/>
      <c r="EB15" s="1416"/>
      <c r="EC15" s="1416"/>
      <c r="ED15" s="1416"/>
      <c r="EE15" s="1416"/>
      <c r="EF15" s="1416"/>
      <c r="EG15" s="1416"/>
      <c r="EH15" s="1416"/>
      <c r="EI15" s="1416"/>
      <c r="EJ15" s="1416"/>
      <c r="EK15" s="1416"/>
      <c r="EL15" s="1416"/>
      <c r="EM15" s="1416"/>
      <c r="EN15" s="1416"/>
      <c r="EO15" s="1416"/>
      <c r="EP15" s="1416"/>
      <c r="EQ15" s="1416"/>
      <c r="ER15" s="1416"/>
      <c r="ES15" s="1416"/>
      <c r="ET15" s="1416"/>
      <c r="EU15" s="1416"/>
      <c r="EV15" s="1416"/>
      <c r="EW15" s="1416"/>
      <c r="EX15" s="1416"/>
      <c r="EY15" s="1416"/>
      <c r="EZ15" s="1416"/>
      <c r="FA15" s="1416"/>
      <c r="FB15" s="1416"/>
      <c r="FC15" s="1416"/>
      <c r="FD15" s="1416"/>
      <c r="FE15" s="1416"/>
      <c r="FF15" s="1416"/>
      <c r="FG15" s="1416"/>
      <c r="FH15" s="1416"/>
      <c r="FI15" s="1416"/>
      <c r="FJ15" s="1416"/>
      <c r="FK15" s="1416"/>
      <c r="FL15" s="1416"/>
      <c r="FM15" s="1416"/>
      <c r="FN15" s="1416"/>
      <c r="FO15" s="1416"/>
      <c r="FP15" s="1416"/>
      <c r="FQ15" s="1416"/>
      <c r="FR15" s="1416"/>
      <c r="FS15" s="1416"/>
      <c r="FT15" s="1416"/>
      <c r="FU15" s="1416"/>
      <c r="FV15" s="1416"/>
      <c r="FW15" s="1421"/>
      <c r="FX15" s="32"/>
      <c r="GC15" s="532">
        <v>36</v>
      </c>
    </row>
    <row r="16" spans="2:185" ht="12.75" customHeight="1">
      <c r="D16" s="55"/>
      <c r="E16" s="537"/>
      <c r="F16" s="1240"/>
      <c r="G16" s="1240"/>
      <c r="H16" s="1240"/>
      <c r="I16" s="1240"/>
      <c r="J16" s="1433"/>
      <c r="K16" s="1433"/>
      <c r="L16" s="1433"/>
      <c r="M16" s="1433"/>
      <c r="N16" s="1433"/>
      <c r="O16" s="1384" t="s">
        <v>824</v>
      </c>
      <c r="P16" s="1415"/>
      <c r="Q16" s="1384" t="s">
        <v>826</v>
      </c>
      <c r="R16" s="1415"/>
      <c r="S16" s="1384" t="s">
        <v>830</v>
      </c>
      <c r="T16" s="1415"/>
      <c r="U16" s="1384" t="s">
        <v>835</v>
      </c>
      <c r="V16" s="1415"/>
      <c r="W16" s="1384" t="s">
        <v>838</v>
      </c>
      <c r="X16" s="1415"/>
      <c r="Y16" s="1384" t="s">
        <v>842</v>
      </c>
      <c r="Z16" s="1415"/>
      <c r="AA16" s="1384" t="s">
        <v>845</v>
      </c>
      <c r="AB16" s="1415"/>
      <c r="AC16" s="1416"/>
      <c r="AD16" s="1416"/>
      <c r="AE16" s="1416"/>
      <c r="AF16" s="1416"/>
      <c r="AG16" s="1416"/>
      <c r="AH16" s="1416"/>
      <c r="AI16" s="1416"/>
      <c r="AJ16" s="1416"/>
      <c r="AK16" s="1416"/>
      <c r="AL16" s="1416"/>
      <c r="AM16" s="1416"/>
      <c r="AN16" s="1416"/>
      <c r="AO16" s="1416"/>
      <c r="AP16" s="1416"/>
      <c r="AQ16" s="1416"/>
      <c r="AR16" s="1416"/>
      <c r="AS16" s="1416"/>
      <c r="AT16" s="1416"/>
      <c r="AU16" s="1416"/>
      <c r="AV16" s="1416"/>
      <c r="AW16" s="1416"/>
      <c r="AX16" s="1416"/>
      <c r="AY16" s="1416"/>
      <c r="AZ16" s="1416"/>
      <c r="BA16" s="1416"/>
      <c r="BB16" s="1416"/>
      <c r="BC16" s="1416"/>
      <c r="BD16" s="1416"/>
      <c r="BE16" s="1416"/>
      <c r="BF16" s="1416"/>
      <c r="BG16" s="1416"/>
      <c r="BH16" s="1416"/>
      <c r="BI16" s="1416"/>
      <c r="BJ16" s="1416"/>
      <c r="BK16" s="1416"/>
      <c r="BL16" s="1416"/>
      <c r="BM16" s="1416"/>
      <c r="BN16" s="1416"/>
      <c r="BO16" s="1416"/>
      <c r="BP16" s="1416"/>
      <c r="BQ16" s="1416"/>
      <c r="BR16" s="1416"/>
      <c r="BS16" s="1417"/>
      <c r="BT16" s="1384" t="s">
        <v>557</v>
      </c>
      <c r="BU16" s="1415"/>
      <c r="BV16" s="1384" t="s">
        <v>557</v>
      </c>
      <c r="BW16" s="1415"/>
      <c r="BX16" s="1384" t="s">
        <v>557</v>
      </c>
      <c r="BY16" s="1415"/>
      <c r="BZ16" s="1384" t="s">
        <v>557</v>
      </c>
      <c r="CA16" s="1415"/>
      <c r="CB16" s="1384" t="s">
        <v>1107</v>
      </c>
      <c r="CC16" s="1415"/>
      <c r="CD16" s="1384" t="s">
        <v>557</v>
      </c>
      <c r="CE16" s="1415"/>
      <c r="CF16" s="1384" t="s">
        <v>1108</v>
      </c>
      <c r="CG16" s="1415"/>
      <c r="CH16" s="1384" t="s">
        <v>1109</v>
      </c>
      <c r="CI16" s="1415"/>
      <c r="CJ16" s="1384" t="s">
        <v>1109</v>
      </c>
      <c r="CK16" s="1415"/>
      <c r="CL16" s="1423"/>
      <c r="CM16" s="1416"/>
      <c r="CN16" s="1416"/>
      <c r="CO16" s="1416"/>
      <c r="CP16" s="1416"/>
      <c r="CQ16" s="1416"/>
      <c r="CR16" s="1416"/>
      <c r="CS16" s="1416"/>
      <c r="CT16" s="1416"/>
      <c r="CU16" s="1416"/>
      <c r="CV16" s="1416"/>
      <c r="CW16" s="1416"/>
      <c r="CX16" s="1417"/>
      <c r="CY16" s="1345" t="s">
        <v>557</v>
      </c>
      <c r="CZ16" s="1386"/>
      <c r="DA16" s="1345" t="s">
        <v>557</v>
      </c>
      <c r="DB16" s="1386"/>
      <c r="DC16" s="1345" t="s">
        <v>557</v>
      </c>
      <c r="DD16" s="1386"/>
      <c r="DE16" s="1384" t="s">
        <v>1107</v>
      </c>
      <c r="DF16" s="1415"/>
      <c r="DG16" s="1384" t="s">
        <v>1110</v>
      </c>
      <c r="DH16" s="1415"/>
      <c r="DI16" s="1384" t="s">
        <v>1110</v>
      </c>
      <c r="DJ16" s="1415"/>
      <c r="DK16" s="1423"/>
      <c r="DL16" s="1416"/>
      <c r="DM16" s="1416"/>
      <c r="DN16" s="1416"/>
      <c r="DO16" s="1416"/>
      <c r="DP16" s="1416"/>
      <c r="DQ16" s="1416"/>
      <c r="DR16" s="1416"/>
      <c r="DS16" s="1416"/>
      <c r="DT16" s="1416"/>
      <c r="DU16" s="1416"/>
      <c r="DV16" s="1416"/>
      <c r="DW16" s="1416"/>
      <c r="DX16" s="1416"/>
      <c r="DY16" s="1416"/>
      <c r="DZ16" s="1416"/>
      <c r="EA16" s="1416"/>
      <c r="EB16" s="1416"/>
      <c r="EC16" s="1416"/>
      <c r="ED16" s="1416"/>
      <c r="EE16" s="1416"/>
      <c r="EF16" s="1416"/>
      <c r="EG16" s="1416"/>
      <c r="EH16" s="1416"/>
      <c r="EI16" s="1416"/>
      <c r="EJ16" s="1416"/>
      <c r="EK16" s="1416"/>
      <c r="EL16" s="1416"/>
      <c r="EM16" s="1416"/>
      <c r="EN16" s="1416"/>
      <c r="EO16" s="1416"/>
      <c r="EP16" s="1416"/>
      <c r="EQ16" s="1416"/>
      <c r="ER16" s="1416"/>
      <c r="ES16" s="1416"/>
      <c r="ET16" s="1416"/>
      <c r="EU16" s="1416"/>
      <c r="EV16" s="1416"/>
      <c r="EW16" s="1416"/>
      <c r="EX16" s="1416"/>
      <c r="EY16" s="1416"/>
      <c r="EZ16" s="1416"/>
      <c r="FA16" s="1416"/>
      <c r="FB16" s="1416"/>
      <c r="FC16" s="1416"/>
      <c r="FD16" s="1416"/>
      <c r="FE16" s="1416"/>
      <c r="FF16" s="1416"/>
      <c r="FG16" s="1416"/>
      <c r="FH16" s="1416"/>
      <c r="FI16" s="1416"/>
      <c r="FJ16" s="1416"/>
      <c r="FK16" s="1416"/>
      <c r="FL16" s="1416"/>
      <c r="FM16" s="1416"/>
      <c r="FN16" s="1416"/>
      <c r="FO16" s="1416"/>
      <c r="FP16" s="1416"/>
      <c r="FQ16" s="1416"/>
      <c r="FR16" s="1416"/>
      <c r="FS16" s="1416"/>
      <c r="FT16" s="1416"/>
      <c r="FU16" s="1416"/>
      <c r="FV16" s="1416"/>
      <c r="FW16" s="1421"/>
      <c r="FX16" s="32"/>
      <c r="GC16" s="532">
        <v>12</v>
      </c>
    </row>
    <row r="17" spans="1:185" ht="15.75" customHeight="1">
      <c r="E17" s="537"/>
      <c r="F17" s="1240"/>
      <c r="G17" s="1240"/>
      <c r="H17" s="1240"/>
      <c r="I17" s="1240"/>
      <c r="J17" s="1433"/>
      <c r="K17" s="1433"/>
      <c r="L17" s="1433"/>
      <c r="M17" s="1433"/>
      <c r="N17" s="1433"/>
      <c r="O17" s="35" t="s">
        <v>1111</v>
      </c>
      <c r="P17" s="35" t="s">
        <v>1112</v>
      </c>
      <c r="Q17" s="35" t="s">
        <v>1111</v>
      </c>
      <c r="R17" s="35" t="s">
        <v>1112</v>
      </c>
      <c r="S17" s="35" t="s">
        <v>1111</v>
      </c>
      <c r="T17" s="35" t="s">
        <v>1112</v>
      </c>
      <c r="U17" s="35" t="s">
        <v>1111</v>
      </c>
      <c r="V17" s="35" t="s">
        <v>1112</v>
      </c>
      <c r="W17" s="35" t="s">
        <v>1111</v>
      </c>
      <c r="X17" s="35" t="s">
        <v>1112</v>
      </c>
      <c r="Y17" s="35" t="s">
        <v>1111</v>
      </c>
      <c r="Z17" s="35" t="s">
        <v>1112</v>
      </c>
      <c r="AA17" s="35" t="s">
        <v>1111</v>
      </c>
      <c r="AB17" s="35" t="s">
        <v>1112</v>
      </c>
      <c r="AC17" s="1416"/>
      <c r="AD17" s="1416"/>
      <c r="AE17" s="1416"/>
      <c r="AF17" s="1416"/>
      <c r="AG17" s="1416"/>
      <c r="AH17" s="1416"/>
      <c r="AI17" s="1416"/>
      <c r="AJ17" s="1416"/>
      <c r="AK17" s="1416"/>
      <c r="AL17" s="1416"/>
      <c r="AM17" s="1416"/>
      <c r="AN17" s="1416"/>
      <c r="AO17" s="1416"/>
      <c r="AP17" s="1416"/>
      <c r="AQ17" s="1416"/>
      <c r="AR17" s="1416"/>
      <c r="AS17" s="1416"/>
      <c r="AT17" s="1416"/>
      <c r="AU17" s="1416"/>
      <c r="AV17" s="1416"/>
      <c r="AW17" s="1416"/>
      <c r="AX17" s="1416"/>
      <c r="AY17" s="1416"/>
      <c r="AZ17" s="1416"/>
      <c r="BA17" s="1416"/>
      <c r="BB17" s="1416"/>
      <c r="BC17" s="1416"/>
      <c r="BD17" s="1416"/>
      <c r="BE17" s="1416"/>
      <c r="BF17" s="1416"/>
      <c r="BG17" s="1416"/>
      <c r="BH17" s="1416"/>
      <c r="BI17" s="1416"/>
      <c r="BJ17" s="1416"/>
      <c r="BK17" s="1416"/>
      <c r="BL17" s="1416"/>
      <c r="BM17" s="1416"/>
      <c r="BN17" s="1416"/>
      <c r="BO17" s="1416"/>
      <c r="BP17" s="1416"/>
      <c r="BQ17" s="1416"/>
      <c r="BR17" s="1416"/>
      <c r="BS17" s="1417"/>
      <c r="BT17" s="35" t="s">
        <v>1111</v>
      </c>
      <c r="BU17" s="35" t="s">
        <v>1112</v>
      </c>
      <c r="BV17" s="35" t="s">
        <v>1111</v>
      </c>
      <c r="BW17" s="35" t="s">
        <v>1112</v>
      </c>
      <c r="BX17" s="35" t="s">
        <v>1111</v>
      </c>
      <c r="BY17" s="35" t="s">
        <v>1112</v>
      </c>
      <c r="BZ17" s="35" t="s">
        <v>1111</v>
      </c>
      <c r="CA17" s="35" t="s">
        <v>1112</v>
      </c>
      <c r="CB17" s="35" t="s">
        <v>1111</v>
      </c>
      <c r="CC17" s="35" t="s">
        <v>1112</v>
      </c>
      <c r="CD17" s="35" t="s">
        <v>1111</v>
      </c>
      <c r="CE17" s="35" t="s">
        <v>1112</v>
      </c>
      <c r="CF17" s="35" t="s">
        <v>1111</v>
      </c>
      <c r="CG17" s="35" t="s">
        <v>1112</v>
      </c>
      <c r="CH17" s="35" t="s">
        <v>1111</v>
      </c>
      <c r="CI17" s="35" t="s">
        <v>1112</v>
      </c>
      <c r="CJ17" s="35" t="s">
        <v>1111</v>
      </c>
      <c r="CK17" s="35" t="s">
        <v>1112</v>
      </c>
      <c r="CL17" s="1423"/>
      <c r="CM17" s="1416"/>
      <c r="CN17" s="1416"/>
      <c r="CO17" s="1416"/>
      <c r="CP17" s="1416"/>
      <c r="CQ17" s="1416"/>
      <c r="CR17" s="1416"/>
      <c r="CS17" s="1416"/>
      <c r="CT17" s="1416"/>
      <c r="CU17" s="1416"/>
      <c r="CV17" s="1416"/>
      <c r="CW17" s="1416"/>
      <c r="CX17" s="1417"/>
      <c r="CY17" s="35" t="s">
        <v>1111</v>
      </c>
      <c r="CZ17" s="35" t="s">
        <v>1112</v>
      </c>
      <c r="DA17" s="35" t="s">
        <v>1111</v>
      </c>
      <c r="DB17" s="35" t="s">
        <v>1112</v>
      </c>
      <c r="DC17" s="35" t="s">
        <v>1111</v>
      </c>
      <c r="DD17" s="35" t="s">
        <v>1112</v>
      </c>
      <c r="DE17" s="35" t="s">
        <v>1111</v>
      </c>
      <c r="DF17" s="35" t="s">
        <v>1112</v>
      </c>
      <c r="DG17" s="35" t="s">
        <v>1111</v>
      </c>
      <c r="DH17" s="35" t="s">
        <v>1112</v>
      </c>
      <c r="DI17" s="35" t="s">
        <v>1111</v>
      </c>
      <c r="DJ17" s="35" t="s">
        <v>1112</v>
      </c>
      <c r="DK17" s="1423"/>
      <c r="DL17" s="1416"/>
      <c r="DM17" s="1416"/>
      <c r="DN17" s="1416"/>
      <c r="DO17" s="1416"/>
      <c r="DP17" s="1416"/>
      <c r="DQ17" s="1416"/>
      <c r="DR17" s="1416"/>
      <c r="DS17" s="1416"/>
      <c r="DT17" s="1416"/>
      <c r="DU17" s="1416"/>
      <c r="DV17" s="1416"/>
      <c r="DW17" s="1416"/>
      <c r="DX17" s="1416"/>
      <c r="DY17" s="1416"/>
      <c r="DZ17" s="1416"/>
      <c r="EA17" s="1416"/>
      <c r="EB17" s="1416"/>
      <c r="EC17" s="1416"/>
      <c r="ED17" s="1416"/>
      <c r="EE17" s="1416"/>
      <c r="EF17" s="1416"/>
      <c r="EG17" s="1416"/>
      <c r="EH17" s="1416"/>
      <c r="EI17" s="1416"/>
      <c r="EJ17" s="1416"/>
      <c r="EK17" s="1416"/>
      <c r="EL17" s="1416"/>
      <c r="EM17" s="1416"/>
      <c r="EN17" s="1416"/>
      <c r="EO17" s="1416"/>
      <c r="EP17" s="1416"/>
      <c r="EQ17" s="1416"/>
      <c r="ER17" s="1416"/>
      <c r="ES17" s="1416"/>
      <c r="ET17" s="1416"/>
      <c r="EU17" s="1416"/>
      <c r="EV17" s="1416"/>
      <c r="EW17" s="1416"/>
      <c r="EX17" s="1416"/>
      <c r="EY17" s="1416"/>
      <c r="EZ17" s="1416"/>
      <c r="FA17" s="1416"/>
      <c r="FB17" s="1416"/>
      <c r="FC17" s="1416"/>
      <c r="FD17" s="1416"/>
      <c r="FE17" s="1416"/>
      <c r="FF17" s="1416"/>
      <c r="FG17" s="1416"/>
      <c r="FH17" s="1416"/>
      <c r="FI17" s="1416"/>
      <c r="FJ17" s="1416"/>
      <c r="FK17" s="1416"/>
      <c r="FL17" s="1416"/>
      <c r="FM17" s="1416"/>
      <c r="FN17" s="1416"/>
      <c r="FO17" s="1416"/>
      <c r="FP17" s="1416"/>
      <c r="FQ17" s="1416"/>
      <c r="FR17" s="1416"/>
      <c r="FS17" s="1416"/>
      <c r="FT17" s="1416"/>
      <c r="FU17" s="1416"/>
      <c r="FV17" s="1416"/>
      <c r="FW17" s="1422"/>
      <c r="FX17" s="32"/>
      <c r="GC17" s="532">
        <v>15</v>
      </c>
    </row>
    <row r="18" spans="1:185" s="530" customFormat="1" ht="12" hidden="1" customHeight="1">
      <c r="B18" s="531"/>
      <c r="E18" s="538"/>
      <c r="F18" s="685"/>
      <c r="G18" s="685"/>
      <c r="H18" s="685"/>
      <c r="I18" s="685"/>
      <c r="J18" s="686"/>
      <c r="K18" s="686"/>
      <c r="L18" s="686"/>
      <c r="M18" s="686"/>
      <c r="N18" s="686"/>
      <c r="O18" s="685"/>
      <c r="P18" s="685"/>
      <c r="Q18" s="685"/>
      <c r="R18" s="685"/>
      <c r="S18" s="685"/>
      <c r="T18" s="685"/>
      <c r="U18" s="687"/>
      <c r="V18" s="687"/>
      <c r="W18" s="687"/>
      <c r="X18" s="687"/>
      <c r="Y18" s="687"/>
      <c r="Z18" s="687"/>
      <c r="AA18" s="687"/>
      <c r="AB18" s="685"/>
      <c r="AC18" s="686"/>
      <c r="AD18" s="686"/>
      <c r="AE18" s="686"/>
      <c r="AF18" s="686"/>
      <c r="AG18" s="686"/>
      <c r="AH18" s="686"/>
      <c r="AI18" s="686"/>
      <c r="AJ18" s="686"/>
      <c r="AK18" s="686"/>
      <c r="AL18" s="686"/>
      <c r="AM18" s="686"/>
      <c r="AN18" s="686"/>
      <c r="AO18" s="686"/>
      <c r="AP18" s="686"/>
      <c r="AQ18" s="686"/>
      <c r="AR18" s="686"/>
      <c r="AS18" s="686"/>
      <c r="AT18" s="686"/>
      <c r="AU18" s="686"/>
      <c r="AV18" s="686"/>
      <c r="AW18" s="686"/>
      <c r="AX18" s="686"/>
      <c r="AY18" s="686"/>
      <c r="AZ18" s="686"/>
      <c r="BA18" s="686"/>
      <c r="BB18" s="686"/>
      <c r="BC18" s="686"/>
      <c r="BD18" s="686"/>
      <c r="BE18" s="686"/>
      <c r="BF18" s="686"/>
      <c r="BG18" s="686"/>
      <c r="BH18" s="686"/>
      <c r="BI18" s="686"/>
      <c r="BJ18" s="686"/>
      <c r="BK18" s="686"/>
      <c r="BL18" s="686"/>
      <c r="BM18" s="686"/>
      <c r="BN18" s="686"/>
      <c r="BO18" s="686"/>
      <c r="BP18" s="686"/>
      <c r="BQ18" s="686"/>
      <c r="BR18" s="686"/>
      <c r="BS18" s="686"/>
      <c r="BT18" s="688"/>
      <c r="BU18" s="688"/>
      <c r="BV18" s="688"/>
      <c r="BW18" s="688"/>
      <c r="BX18" s="688"/>
      <c r="BY18" s="688"/>
      <c r="BZ18" s="688"/>
      <c r="CA18" s="688"/>
      <c r="CB18" s="688"/>
      <c r="CC18" s="688"/>
      <c r="CD18" s="688"/>
      <c r="CE18" s="688"/>
      <c r="CF18" s="688"/>
      <c r="CG18" s="688"/>
      <c r="CH18" s="688"/>
      <c r="CI18" s="688"/>
      <c r="CJ18" s="688"/>
      <c r="CK18" s="688"/>
      <c r="CL18" s="686"/>
      <c r="CM18" s="686"/>
      <c r="CN18" s="686"/>
      <c r="CO18" s="686"/>
      <c r="CP18" s="686"/>
      <c r="CQ18" s="686"/>
      <c r="CR18" s="686"/>
      <c r="CS18" s="686"/>
      <c r="CT18" s="686"/>
      <c r="CU18" s="686"/>
      <c r="CV18" s="686"/>
      <c r="CW18" s="686"/>
      <c r="CX18" s="686"/>
      <c r="CY18" s="688"/>
      <c r="CZ18" s="688"/>
      <c r="DA18" s="688"/>
      <c r="DB18" s="688"/>
      <c r="DC18" s="688"/>
      <c r="DD18" s="688"/>
      <c r="DE18" s="688"/>
      <c r="DF18" s="688"/>
      <c r="DG18" s="688"/>
      <c r="DH18" s="688"/>
      <c r="DI18" s="688"/>
      <c r="DJ18" s="688"/>
      <c r="DK18" s="686"/>
      <c r="DL18" s="686"/>
      <c r="DM18" s="686"/>
      <c r="DN18" s="686"/>
      <c r="DO18" s="686"/>
      <c r="DP18" s="686"/>
      <c r="DQ18" s="686"/>
      <c r="DR18" s="686"/>
      <c r="DS18" s="686"/>
      <c r="DT18" s="686"/>
      <c r="DU18" s="686"/>
      <c r="DV18" s="686"/>
      <c r="DW18" s="686"/>
      <c r="DX18" s="686"/>
      <c r="DY18" s="686"/>
      <c r="DZ18" s="686"/>
      <c r="EA18" s="686"/>
      <c r="EB18" s="686"/>
      <c r="EC18" s="686"/>
      <c r="ED18" s="686"/>
      <c r="EE18" s="686"/>
      <c r="EF18" s="686"/>
      <c r="EG18" s="686"/>
      <c r="EH18" s="686"/>
      <c r="EI18" s="686"/>
      <c r="EJ18" s="686"/>
      <c r="EK18" s="686"/>
      <c r="EL18" s="686"/>
      <c r="EM18" s="686"/>
      <c r="EN18" s="686"/>
      <c r="EO18" s="686"/>
      <c r="EP18" s="686"/>
      <c r="EQ18" s="686"/>
      <c r="ER18" s="686"/>
      <c r="ES18" s="686"/>
      <c r="ET18" s="686"/>
      <c r="EU18" s="686"/>
      <c r="EV18" s="686"/>
      <c r="EW18" s="686"/>
      <c r="EX18" s="686"/>
      <c r="EY18" s="686"/>
      <c r="EZ18" s="686"/>
      <c r="FA18" s="686"/>
      <c r="FB18" s="686"/>
      <c r="FC18" s="686"/>
      <c r="FD18" s="686"/>
      <c r="FE18" s="686"/>
      <c r="FF18" s="686"/>
      <c r="FG18" s="686"/>
      <c r="FH18" s="686"/>
      <c r="FI18" s="686"/>
      <c r="FJ18" s="686"/>
      <c r="FK18" s="686"/>
      <c r="FL18" s="686"/>
      <c r="FM18" s="686"/>
      <c r="FN18" s="686"/>
      <c r="FO18" s="686"/>
      <c r="FP18" s="686"/>
      <c r="FQ18" s="686"/>
      <c r="FR18" s="686"/>
      <c r="FS18" s="686"/>
      <c r="FT18" s="686"/>
      <c r="FU18" s="686"/>
      <c r="FV18" s="686"/>
      <c r="FW18" s="685"/>
      <c r="FX18" s="689"/>
      <c r="GC18" s="530">
        <v>0</v>
      </c>
    </row>
    <row r="19" spans="1:185" s="530" customFormat="1" ht="11.25" hidden="1" customHeight="1">
      <c r="B19" s="531"/>
      <c r="E19" s="538"/>
      <c r="F19" s="685"/>
      <c r="G19" s="685"/>
      <c r="H19" s="685"/>
      <c r="I19" s="685"/>
      <c r="J19" s="685"/>
      <c r="K19" s="685"/>
      <c r="L19" s="685"/>
      <c r="M19" s="685"/>
      <c r="N19" s="685"/>
      <c r="O19" s="685"/>
      <c r="P19" s="685"/>
      <c r="Q19" s="685"/>
      <c r="R19" s="685"/>
      <c r="S19" s="685"/>
      <c r="T19" s="685"/>
      <c r="U19" s="687"/>
      <c r="V19" s="687"/>
      <c r="W19" s="687"/>
      <c r="X19" s="687"/>
      <c r="Y19" s="687"/>
      <c r="Z19" s="687"/>
      <c r="AA19" s="687"/>
      <c r="AB19" s="685"/>
      <c r="AC19" s="685"/>
      <c r="AD19" s="685"/>
      <c r="AE19" s="685"/>
      <c r="AF19" s="685"/>
      <c r="AG19" s="685"/>
      <c r="AH19" s="685"/>
      <c r="AI19" s="685"/>
      <c r="AJ19" s="685"/>
      <c r="AK19" s="685"/>
      <c r="AL19" s="685"/>
      <c r="AM19" s="685"/>
      <c r="AN19" s="685"/>
      <c r="AO19" s="685"/>
      <c r="AP19" s="685"/>
      <c r="AQ19" s="685"/>
      <c r="AR19" s="685"/>
      <c r="AS19" s="685"/>
      <c r="AT19" s="685"/>
      <c r="AU19" s="685"/>
      <c r="AV19" s="685"/>
      <c r="AW19" s="685"/>
      <c r="AX19" s="685"/>
      <c r="AY19" s="685"/>
      <c r="AZ19" s="685"/>
      <c r="BA19" s="685"/>
      <c r="BB19" s="685"/>
      <c r="BC19" s="685"/>
      <c r="BD19" s="685"/>
      <c r="BE19" s="685"/>
      <c r="BF19" s="685"/>
      <c r="BG19" s="685"/>
      <c r="BH19" s="685"/>
      <c r="BI19" s="685"/>
      <c r="BJ19" s="685"/>
      <c r="BK19" s="685"/>
      <c r="BL19" s="685"/>
      <c r="BM19" s="685"/>
      <c r="BN19" s="685"/>
      <c r="BO19" s="685"/>
      <c r="BP19" s="685"/>
      <c r="BQ19" s="685"/>
      <c r="BR19" s="685"/>
      <c r="BS19" s="685"/>
      <c r="BT19" s="685"/>
      <c r="BU19" s="685"/>
      <c r="BV19" s="685"/>
      <c r="BW19" s="685"/>
      <c r="BX19" s="685"/>
      <c r="BY19" s="685"/>
      <c r="BZ19" s="685"/>
      <c r="CA19" s="685"/>
      <c r="CB19" s="685"/>
      <c r="CC19" s="685"/>
      <c r="CD19" s="685"/>
      <c r="CE19" s="685"/>
      <c r="CF19" s="685"/>
      <c r="CG19" s="685"/>
      <c r="CH19" s="685"/>
      <c r="CI19" s="685"/>
      <c r="CJ19" s="685"/>
      <c r="CK19" s="685"/>
      <c r="CL19" s="685"/>
      <c r="CM19" s="685"/>
      <c r="CN19" s="685"/>
      <c r="CO19" s="685"/>
      <c r="CP19" s="685"/>
      <c r="CQ19" s="685"/>
      <c r="CR19" s="685"/>
      <c r="CS19" s="685"/>
      <c r="CT19" s="685"/>
      <c r="CU19" s="685"/>
      <c r="CV19" s="685"/>
      <c r="CW19" s="685"/>
      <c r="CX19" s="685"/>
      <c r="CY19" s="685"/>
      <c r="CZ19" s="685"/>
      <c r="DA19" s="685"/>
      <c r="DB19" s="685"/>
      <c r="DC19" s="685"/>
      <c r="DD19" s="685"/>
      <c r="DE19" s="685"/>
      <c r="DF19" s="685"/>
      <c r="DG19" s="685"/>
      <c r="DH19" s="685"/>
      <c r="DI19" s="685"/>
      <c r="DJ19" s="685"/>
      <c r="DK19" s="685"/>
      <c r="DL19" s="685"/>
      <c r="DM19" s="685"/>
      <c r="DN19" s="685"/>
      <c r="DO19" s="685"/>
      <c r="DP19" s="685"/>
      <c r="DQ19" s="685"/>
      <c r="DR19" s="685"/>
      <c r="DS19" s="685"/>
      <c r="DT19" s="685"/>
      <c r="DU19" s="685"/>
      <c r="DV19" s="685"/>
      <c r="DW19" s="685"/>
      <c r="DX19" s="685"/>
      <c r="DY19" s="685"/>
      <c r="DZ19" s="685"/>
      <c r="EA19" s="685"/>
      <c r="EB19" s="685"/>
      <c r="EC19" s="685"/>
      <c r="ED19" s="685"/>
      <c r="EE19" s="685"/>
      <c r="EF19" s="685"/>
      <c r="EG19" s="685"/>
      <c r="EH19" s="685"/>
      <c r="EI19" s="685"/>
      <c r="EJ19" s="685"/>
      <c r="EK19" s="685"/>
      <c r="EL19" s="685"/>
      <c r="EM19" s="685"/>
      <c r="EN19" s="685"/>
      <c r="EO19" s="685"/>
      <c r="EP19" s="685"/>
      <c r="EQ19" s="685"/>
      <c r="ER19" s="685"/>
      <c r="ES19" s="685"/>
      <c r="ET19" s="685"/>
      <c r="EU19" s="685"/>
      <c r="EV19" s="685"/>
      <c r="EW19" s="685"/>
      <c r="EX19" s="685"/>
      <c r="EY19" s="685"/>
      <c r="EZ19" s="685"/>
      <c r="FA19" s="685"/>
      <c r="FB19" s="685"/>
      <c r="FC19" s="685"/>
      <c r="FD19" s="685"/>
      <c r="FE19" s="685"/>
      <c r="FF19" s="685"/>
      <c r="FG19" s="685"/>
      <c r="FH19" s="685"/>
      <c r="FI19" s="685"/>
      <c r="FJ19" s="685"/>
      <c r="FK19" s="685"/>
      <c r="FL19" s="685"/>
      <c r="FM19" s="685"/>
      <c r="FN19" s="685"/>
      <c r="FO19" s="685"/>
      <c r="FP19" s="685"/>
      <c r="FQ19" s="685"/>
      <c r="FR19" s="685"/>
      <c r="FS19" s="685"/>
      <c r="FT19" s="685"/>
      <c r="FU19" s="685"/>
      <c r="FV19" s="685"/>
      <c r="FW19" s="685"/>
      <c r="FX19" s="689"/>
      <c r="GC19" s="530">
        <v>0</v>
      </c>
    </row>
    <row r="20" spans="1:185" s="530" customFormat="1" ht="11.25" hidden="1" customHeight="1">
      <c r="B20" s="531"/>
      <c r="E20" s="538"/>
      <c r="F20" s="690" t="s">
        <v>376</v>
      </c>
      <c r="G20" s="691"/>
      <c r="H20" s="692"/>
      <c r="I20" s="692"/>
      <c r="J20" s="692"/>
      <c r="K20" s="692"/>
      <c r="L20" s="692"/>
      <c r="M20" s="692"/>
      <c r="N20" s="692"/>
      <c r="O20" s="691"/>
      <c r="P20" s="691"/>
      <c r="Q20" s="691"/>
      <c r="R20" s="691"/>
      <c r="S20" s="691"/>
      <c r="T20" s="691"/>
      <c r="U20" s="693"/>
      <c r="V20" s="693"/>
      <c r="W20" s="693"/>
      <c r="X20" s="693"/>
      <c r="Y20" s="693"/>
      <c r="Z20" s="693"/>
      <c r="AA20" s="693"/>
      <c r="AB20" s="691"/>
      <c r="AC20" s="692"/>
      <c r="AD20" s="692"/>
      <c r="AE20" s="692"/>
      <c r="AF20" s="692"/>
      <c r="AG20" s="692"/>
      <c r="AH20" s="692"/>
      <c r="AI20" s="692"/>
      <c r="AJ20" s="692"/>
      <c r="AK20" s="692"/>
      <c r="AL20" s="692"/>
      <c r="AM20" s="692"/>
      <c r="AN20" s="692"/>
      <c r="AO20" s="692"/>
      <c r="AP20" s="692"/>
      <c r="AQ20" s="692"/>
      <c r="AR20" s="692"/>
      <c r="AS20" s="692"/>
      <c r="AT20" s="692"/>
      <c r="AU20" s="692"/>
      <c r="AV20" s="692"/>
      <c r="AW20" s="692"/>
      <c r="AX20" s="692"/>
      <c r="AY20" s="692"/>
      <c r="AZ20" s="692"/>
      <c r="BA20" s="692"/>
      <c r="BB20" s="692"/>
      <c r="BC20" s="692"/>
      <c r="BD20" s="692"/>
      <c r="BE20" s="692"/>
      <c r="BF20" s="692"/>
      <c r="BG20" s="692"/>
      <c r="BH20" s="692"/>
      <c r="BI20" s="692"/>
      <c r="BJ20" s="692"/>
      <c r="BK20" s="692"/>
      <c r="BL20" s="692"/>
      <c r="BM20" s="692"/>
      <c r="BN20" s="692"/>
      <c r="BO20" s="692"/>
      <c r="BP20" s="692"/>
      <c r="BQ20" s="692"/>
      <c r="BR20" s="692"/>
      <c r="BS20" s="692"/>
      <c r="BT20" s="692"/>
      <c r="BU20" s="692"/>
      <c r="BV20" s="692"/>
      <c r="BW20" s="692"/>
      <c r="BX20" s="692"/>
      <c r="BY20" s="692"/>
      <c r="BZ20" s="692"/>
      <c r="CA20" s="692"/>
      <c r="CB20" s="692"/>
      <c r="CC20" s="692"/>
      <c r="CD20" s="692"/>
      <c r="CE20" s="692"/>
      <c r="CF20" s="692"/>
      <c r="CG20" s="692"/>
      <c r="CH20" s="692"/>
      <c r="CI20" s="692"/>
      <c r="CJ20" s="692"/>
      <c r="CK20" s="692"/>
      <c r="CL20" s="694"/>
      <c r="CM20" s="694"/>
      <c r="CN20" s="694"/>
      <c r="CO20" s="694"/>
      <c r="CP20" s="694"/>
      <c r="CQ20" s="694"/>
      <c r="CR20" s="694"/>
      <c r="CS20" s="694"/>
      <c r="CT20" s="694"/>
      <c r="CU20" s="694"/>
      <c r="CV20" s="694"/>
      <c r="CW20" s="694"/>
      <c r="CX20" s="694"/>
      <c r="CY20" s="694"/>
      <c r="CZ20" s="694"/>
      <c r="DA20" s="694"/>
      <c r="DB20" s="694"/>
      <c r="DC20" s="694"/>
      <c r="DD20" s="694"/>
      <c r="DE20" s="694"/>
      <c r="DF20" s="694"/>
      <c r="DG20" s="694"/>
      <c r="DH20" s="694"/>
      <c r="DI20" s="694"/>
      <c r="DJ20" s="694"/>
      <c r="DK20" s="694"/>
      <c r="DL20" s="694"/>
      <c r="DM20" s="694"/>
      <c r="DN20" s="694"/>
      <c r="DO20" s="694"/>
      <c r="DP20" s="694"/>
      <c r="DQ20" s="694"/>
      <c r="DR20" s="694"/>
      <c r="DS20" s="694"/>
      <c r="DT20" s="694"/>
      <c r="DU20" s="694"/>
      <c r="DV20" s="694"/>
      <c r="DW20" s="694"/>
      <c r="DX20" s="694"/>
      <c r="DY20" s="694"/>
      <c r="DZ20" s="694"/>
      <c r="EA20" s="694"/>
      <c r="EB20" s="694"/>
      <c r="EC20" s="694"/>
      <c r="ED20" s="694"/>
      <c r="EE20" s="694"/>
      <c r="EF20" s="694"/>
      <c r="EG20" s="694"/>
      <c r="EH20" s="694"/>
      <c r="EI20" s="694"/>
      <c r="EJ20" s="694"/>
      <c r="EK20" s="694"/>
      <c r="EL20" s="694"/>
      <c r="EM20" s="694"/>
      <c r="EN20" s="694"/>
      <c r="EO20" s="694"/>
      <c r="EP20" s="694"/>
      <c r="EQ20" s="694"/>
      <c r="ER20" s="694"/>
      <c r="ES20" s="694"/>
      <c r="ET20" s="694"/>
      <c r="EU20" s="694"/>
      <c r="EV20" s="694"/>
      <c r="EW20" s="694"/>
      <c r="EX20" s="694"/>
      <c r="EY20" s="694"/>
      <c r="EZ20" s="694"/>
      <c r="FA20" s="694"/>
      <c r="FB20" s="694"/>
      <c r="FC20" s="694"/>
      <c r="FD20" s="694"/>
      <c r="FE20" s="694"/>
      <c r="FF20" s="694"/>
      <c r="FG20" s="694"/>
      <c r="FH20" s="694"/>
      <c r="FI20" s="694"/>
      <c r="FJ20" s="694"/>
      <c r="FK20" s="694"/>
      <c r="FL20" s="694"/>
      <c r="FM20" s="694"/>
      <c r="FN20" s="694"/>
      <c r="FO20" s="694"/>
      <c r="FP20" s="694"/>
      <c r="FQ20" s="694"/>
      <c r="FR20" s="694"/>
      <c r="FS20" s="694"/>
      <c r="FT20" s="694"/>
      <c r="FU20" s="694"/>
      <c r="FV20" s="694"/>
      <c r="FW20" s="694"/>
      <c r="FX20" s="689"/>
      <c r="GC20" s="530">
        <v>0</v>
      </c>
    </row>
    <row r="21" spans="1:185" s="530" customFormat="1" ht="12.75" customHeight="1">
      <c r="A21" s="55"/>
      <c r="B21" s="55"/>
      <c r="C21" s="55"/>
      <c r="D21" s="55"/>
      <c r="E21" s="55"/>
      <c r="F21" s="538"/>
      <c r="G21" s="538"/>
      <c r="H21" s="538"/>
      <c r="I21" s="538"/>
      <c r="J21" s="538"/>
      <c r="K21" s="538"/>
      <c r="L21" s="538"/>
      <c r="M21" s="538"/>
      <c r="N21" s="538"/>
      <c r="O21" s="538"/>
      <c r="P21" s="538"/>
      <c r="Q21" s="538"/>
      <c r="R21" s="538"/>
      <c r="S21" s="539"/>
      <c r="T21" s="539"/>
      <c r="U21" s="538"/>
      <c r="V21" s="538"/>
      <c r="W21" s="538"/>
      <c r="X21" s="538"/>
      <c r="Y21" s="538"/>
      <c r="Z21" s="538"/>
      <c r="AA21" s="538"/>
      <c r="AB21" s="538"/>
      <c r="AC21" s="538"/>
      <c r="AD21" s="538"/>
      <c r="AE21" s="538"/>
      <c r="AF21" s="538"/>
      <c r="AG21" s="538"/>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8"/>
      <c r="CG21" s="538"/>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8"/>
      <c r="DH21" s="538"/>
      <c r="DI21" s="538"/>
      <c r="DJ21" s="538"/>
      <c r="DK21" s="538"/>
      <c r="DL21" s="538"/>
      <c r="DM21" s="538"/>
      <c r="DN21" s="538"/>
      <c r="DO21" s="538"/>
      <c r="DP21" s="538"/>
      <c r="DQ21" s="538"/>
      <c r="DR21" s="538"/>
      <c r="DS21" s="538"/>
      <c r="DT21" s="538"/>
      <c r="DU21" s="538"/>
      <c r="DV21" s="538"/>
      <c r="DW21" s="538"/>
      <c r="DX21" s="538"/>
      <c r="DY21" s="538"/>
      <c r="DZ21" s="538"/>
      <c r="EA21" s="538"/>
      <c r="EB21" s="538"/>
      <c r="EC21" s="538"/>
      <c r="ED21" s="538"/>
      <c r="EE21" s="538"/>
      <c r="EF21" s="538"/>
      <c r="EG21" s="538"/>
      <c r="EH21" s="538"/>
      <c r="EI21" s="538"/>
      <c r="EJ21" s="538"/>
      <c r="EK21" s="538"/>
      <c r="EL21" s="538"/>
      <c r="EM21" s="538"/>
      <c r="EN21" s="538"/>
      <c r="EO21" s="538"/>
      <c r="EP21" s="538"/>
      <c r="EQ21" s="538"/>
      <c r="ER21" s="538"/>
      <c r="ES21" s="538"/>
      <c r="ET21" s="538"/>
      <c r="EU21" s="538"/>
      <c r="EV21" s="538"/>
      <c r="EW21" s="538"/>
      <c r="EX21" s="538"/>
      <c r="EY21" s="538"/>
      <c r="EZ21" s="538"/>
      <c r="FA21" s="538"/>
      <c r="FB21" s="538"/>
      <c r="FC21" s="538"/>
      <c r="FD21" s="538"/>
      <c r="FE21" s="538"/>
      <c r="FF21" s="538"/>
      <c r="FG21" s="538"/>
      <c r="FH21" s="538"/>
      <c r="FI21" s="538"/>
      <c r="FJ21" s="538"/>
      <c r="FK21" s="538"/>
      <c r="FL21" s="538"/>
      <c r="FM21" s="538"/>
      <c r="FN21" s="538"/>
      <c r="FO21" s="538"/>
      <c r="FP21" s="538"/>
      <c r="FQ21" s="538"/>
      <c r="FR21" s="538"/>
      <c r="FS21" s="538"/>
      <c r="FT21" s="538"/>
      <c r="FU21" s="538"/>
      <c r="FV21" s="538"/>
      <c r="FW21" s="538"/>
      <c r="FX21" s="55"/>
      <c r="FY21" s="55"/>
      <c r="FZ21" s="55"/>
      <c r="GA21" s="55"/>
      <c r="GB21" s="55"/>
      <c r="GC21" s="530">
        <v>12</v>
      </c>
    </row>
    <row r="22" spans="1:185" s="530" customFormat="1" ht="12.75" customHeight="1">
      <c r="A22" s="55"/>
      <c r="B22" s="55"/>
      <c r="C22" s="55"/>
      <c r="D22" s="55"/>
      <c r="E22" s="55"/>
      <c r="FX22" s="55"/>
      <c r="FY22" s="55"/>
      <c r="FZ22" s="55"/>
      <c r="GA22" s="55"/>
      <c r="GB22" s="55"/>
      <c r="GC22" s="530">
        <v>12</v>
      </c>
    </row>
    <row r="23" spans="1:185" s="532" customFormat="1" ht="12.75" customHeight="1">
      <c r="A23" s="55"/>
      <c r="B23" s="55"/>
      <c r="C23" s="55"/>
      <c r="D23" s="55"/>
      <c r="E23" s="55"/>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623"/>
      <c r="BU23" s="623"/>
      <c r="BV23" s="623"/>
      <c r="BW23" s="623"/>
      <c r="BX23" s="623"/>
      <c r="BY23" s="623"/>
      <c r="BZ23" s="623"/>
      <c r="CA23" s="623"/>
      <c r="CB23" s="623"/>
      <c r="CC23" s="623"/>
      <c r="CD23" s="623"/>
      <c r="CE23" s="623"/>
      <c r="CF23" s="623"/>
      <c r="CG23" s="623"/>
      <c r="CH23" s="623"/>
      <c r="CI23" s="623"/>
      <c r="CJ23" s="623"/>
      <c r="CK23" s="623"/>
      <c r="CL23" s="623"/>
      <c r="CM23" s="623"/>
      <c r="CN23" s="623"/>
      <c r="CO23" s="623"/>
      <c r="CP23" s="623"/>
      <c r="CQ23" s="623"/>
      <c r="CR23" s="623"/>
      <c r="CS23" s="623"/>
      <c r="CT23" s="623"/>
      <c r="CU23" s="623"/>
      <c r="CV23" s="623"/>
      <c r="CW23" s="623"/>
      <c r="CX23" s="623"/>
      <c r="CY23" s="623"/>
      <c r="CZ23" s="623"/>
      <c r="DA23" s="623"/>
      <c r="DB23" s="623"/>
      <c r="DC23" s="623"/>
      <c r="DD23" s="623"/>
      <c r="DE23" s="623"/>
      <c r="DF23" s="623"/>
      <c r="DG23" s="623"/>
      <c r="DH23" s="623"/>
      <c r="DI23" s="623"/>
      <c r="DJ23" s="623"/>
      <c r="DK23" s="623"/>
      <c r="DL23" s="623"/>
      <c r="DM23" s="623"/>
      <c r="DN23" s="623"/>
      <c r="DO23" s="623"/>
      <c r="DP23" s="623"/>
      <c r="DQ23" s="623"/>
      <c r="DR23" s="623"/>
      <c r="DS23" s="623"/>
      <c r="DT23" s="623"/>
      <c r="DU23" s="623"/>
      <c r="DV23" s="623"/>
      <c r="DW23" s="623"/>
      <c r="DX23" s="623"/>
      <c r="FX23" s="55"/>
      <c r="FY23" s="55"/>
      <c r="FZ23" s="55"/>
      <c r="GA23" s="55"/>
      <c r="GB23" s="55"/>
      <c r="GC23" s="532">
        <v>12</v>
      </c>
    </row>
    <row r="24" spans="1:185" ht="12.75" customHeight="1">
      <c r="S24" s="55"/>
      <c r="T24" s="55"/>
      <c r="U24" s="55"/>
      <c r="V24" s="55"/>
      <c r="W24" s="55"/>
      <c r="X24" s="55"/>
      <c r="Y24" s="55"/>
      <c r="Z24" s="55"/>
      <c r="AA24" s="55"/>
      <c r="AB24" s="55"/>
      <c r="FX24" s="55"/>
      <c r="FY24" s="55"/>
      <c r="FZ24" s="55"/>
      <c r="GA24" s="55"/>
      <c r="GB24" s="55"/>
      <c r="GC24" s="532">
        <v>12</v>
      </c>
    </row>
    <row r="25" spans="1:185" ht="12" hidden="1" customHeight="1">
      <c r="A25" s="532" t="s">
        <v>80</v>
      </c>
      <c r="B25" s="533">
        <v>0</v>
      </c>
      <c r="C25" s="532">
        <v>0</v>
      </c>
      <c r="D25" s="532">
        <v>0</v>
      </c>
      <c r="E25" s="532">
        <v>3</v>
      </c>
      <c r="F25" s="532">
        <v>6</v>
      </c>
      <c r="G25" s="532">
        <v>18</v>
      </c>
      <c r="H25" s="532">
        <v>27</v>
      </c>
      <c r="I25" s="532">
        <v>18</v>
      </c>
      <c r="J25" s="532">
        <v>0</v>
      </c>
      <c r="K25" s="532">
        <v>0</v>
      </c>
      <c r="L25" s="532">
        <v>0</v>
      </c>
      <c r="M25" s="532">
        <v>0</v>
      </c>
      <c r="N25" s="532">
        <v>0</v>
      </c>
      <c r="O25" s="532">
        <v>0</v>
      </c>
      <c r="P25" s="532">
        <v>0</v>
      </c>
      <c r="Q25" s="532">
        <v>0</v>
      </c>
      <c r="R25" s="532">
        <v>0</v>
      </c>
      <c r="S25" s="532">
        <v>0</v>
      </c>
      <c r="T25" s="532">
        <v>0</v>
      </c>
      <c r="U25" s="532">
        <v>0</v>
      </c>
      <c r="V25" s="532">
        <v>0</v>
      </c>
      <c r="W25" s="532">
        <v>0</v>
      </c>
      <c r="X25" s="532">
        <v>0</v>
      </c>
      <c r="Y25" s="532">
        <v>0</v>
      </c>
      <c r="Z25" s="532">
        <v>0</v>
      </c>
      <c r="AA25" s="532">
        <v>0</v>
      </c>
      <c r="AB25" s="532">
        <v>0</v>
      </c>
      <c r="AC25" s="532">
        <v>0</v>
      </c>
      <c r="AD25" s="532">
        <v>0</v>
      </c>
      <c r="AE25" s="532">
        <v>0</v>
      </c>
      <c r="AF25" s="532">
        <v>0</v>
      </c>
      <c r="AG25" s="532">
        <v>0</v>
      </c>
      <c r="AH25" s="532">
        <v>0</v>
      </c>
      <c r="AI25" s="532">
        <v>0</v>
      </c>
      <c r="AJ25" s="532">
        <v>0</v>
      </c>
      <c r="AK25" s="532">
        <v>0</v>
      </c>
      <c r="AL25" s="532">
        <v>0</v>
      </c>
      <c r="AM25" s="532">
        <v>0</v>
      </c>
      <c r="AN25" s="532">
        <v>0</v>
      </c>
      <c r="AO25" s="532">
        <v>0</v>
      </c>
      <c r="AP25" s="532">
        <v>0</v>
      </c>
      <c r="AQ25" s="532">
        <v>0</v>
      </c>
      <c r="AR25" s="532">
        <v>0</v>
      </c>
      <c r="AS25" s="532">
        <v>0</v>
      </c>
      <c r="AT25" s="532">
        <v>0</v>
      </c>
      <c r="AU25" s="532">
        <v>0</v>
      </c>
      <c r="AV25" s="532">
        <v>0</v>
      </c>
      <c r="AW25" s="532">
        <v>0</v>
      </c>
      <c r="AX25" s="532">
        <v>0</v>
      </c>
      <c r="AY25" s="532">
        <v>0</v>
      </c>
      <c r="AZ25" s="532">
        <v>0</v>
      </c>
      <c r="BA25" s="532">
        <v>0</v>
      </c>
      <c r="BB25" s="532">
        <v>0</v>
      </c>
      <c r="BC25" s="532">
        <v>0</v>
      </c>
      <c r="BD25" s="532">
        <v>0</v>
      </c>
      <c r="BE25" s="532">
        <v>0</v>
      </c>
      <c r="BF25" s="532">
        <v>0</v>
      </c>
      <c r="BG25" s="532">
        <v>0</v>
      </c>
      <c r="BH25" s="532">
        <v>0</v>
      </c>
      <c r="BI25" s="532">
        <v>0</v>
      </c>
      <c r="BJ25" s="532">
        <v>0</v>
      </c>
      <c r="BK25" s="532">
        <v>0</v>
      </c>
      <c r="BL25" s="532">
        <v>0</v>
      </c>
      <c r="BM25" s="532">
        <v>0</v>
      </c>
      <c r="BN25" s="532">
        <v>0</v>
      </c>
      <c r="BO25" s="532">
        <v>0</v>
      </c>
      <c r="BP25" s="532">
        <v>0</v>
      </c>
      <c r="BQ25" s="532">
        <v>0</v>
      </c>
      <c r="BR25" s="532">
        <v>0</v>
      </c>
      <c r="BS25" s="532">
        <v>0</v>
      </c>
      <c r="BT25" s="532">
        <v>0</v>
      </c>
      <c r="BU25" s="532">
        <v>0</v>
      </c>
      <c r="BV25" s="532">
        <v>0</v>
      </c>
      <c r="BW25" s="532">
        <v>0</v>
      </c>
      <c r="BX25" s="532">
        <v>0</v>
      </c>
      <c r="BY25" s="532">
        <v>0</v>
      </c>
      <c r="BZ25" s="532">
        <v>0</v>
      </c>
      <c r="CA25" s="532">
        <v>0</v>
      </c>
      <c r="CB25" s="532">
        <v>0</v>
      </c>
      <c r="CC25" s="532">
        <v>0</v>
      </c>
      <c r="CD25" s="532">
        <v>0</v>
      </c>
      <c r="CE25" s="532">
        <v>0</v>
      </c>
      <c r="CF25" s="532">
        <v>0</v>
      </c>
      <c r="CG25" s="532">
        <v>0</v>
      </c>
      <c r="CH25" s="532">
        <v>0</v>
      </c>
      <c r="CI25" s="532">
        <v>0</v>
      </c>
      <c r="CJ25" s="532">
        <v>0</v>
      </c>
      <c r="CK25" s="532">
        <v>0</v>
      </c>
      <c r="CL25" s="532">
        <v>0</v>
      </c>
      <c r="CM25" s="532">
        <v>0</v>
      </c>
      <c r="CN25" s="532">
        <v>0</v>
      </c>
      <c r="CO25" s="532">
        <v>0</v>
      </c>
      <c r="CP25" s="532">
        <v>0</v>
      </c>
      <c r="CQ25" s="532">
        <v>0</v>
      </c>
      <c r="CR25" s="532">
        <v>0</v>
      </c>
      <c r="CS25" s="532">
        <v>0</v>
      </c>
      <c r="CT25" s="532">
        <v>0</v>
      </c>
      <c r="CU25" s="532">
        <v>0</v>
      </c>
      <c r="CV25" s="532">
        <v>0</v>
      </c>
      <c r="CW25" s="532">
        <v>0</v>
      </c>
      <c r="CX25" s="532">
        <v>0</v>
      </c>
      <c r="CY25" s="532">
        <v>0</v>
      </c>
      <c r="CZ25" s="532">
        <v>0</v>
      </c>
      <c r="DA25" s="532">
        <v>0</v>
      </c>
      <c r="DB25" s="532">
        <v>0</v>
      </c>
      <c r="DC25" s="532">
        <v>0</v>
      </c>
      <c r="DD25" s="532">
        <v>0</v>
      </c>
      <c r="DE25" s="532">
        <v>0</v>
      </c>
      <c r="DF25" s="532">
        <v>0</v>
      </c>
      <c r="DG25" s="532">
        <v>0</v>
      </c>
      <c r="DH25" s="532">
        <v>0</v>
      </c>
      <c r="DI25" s="532">
        <v>0</v>
      </c>
      <c r="DJ25" s="532">
        <v>0</v>
      </c>
      <c r="DK25" s="532">
        <v>0</v>
      </c>
      <c r="DL25" s="532">
        <v>0</v>
      </c>
      <c r="DM25" s="532">
        <v>0</v>
      </c>
      <c r="DN25" s="532">
        <v>0</v>
      </c>
      <c r="DO25" s="532">
        <v>0</v>
      </c>
      <c r="DP25" s="532">
        <v>0</v>
      </c>
      <c r="DQ25" s="532">
        <v>0</v>
      </c>
      <c r="DR25" s="532">
        <v>0</v>
      </c>
      <c r="DS25" s="532">
        <v>0</v>
      </c>
      <c r="DT25" s="532">
        <v>0</v>
      </c>
      <c r="DU25" s="532">
        <v>0</v>
      </c>
      <c r="DV25" s="532">
        <v>0</v>
      </c>
      <c r="DW25" s="532">
        <v>0</v>
      </c>
      <c r="DX25" s="532">
        <v>0</v>
      </c>
      <c r="DY25" s="532">
        <v>0</v>
      </c>
      <c r="DZ25" s="532">
        <v>0</v>
      </c>
      <c r="EA25" s="532">
        <v>0</v>
      </c>
      <c r="EB25" s="532">
        <v>0</v>
      </c>
      <c r="EC25" s="532">
        <v>0</v>
      </c>
      <c r="ED25" s="532">
        <v>0</v>
      </c>
      <c r="EE25" s="532">
        <v>0</v>
      </c>
      <c r="EF25" s="532">
        <v>0</v>
      </c>
      <c r="EG25" s="532">
        <v>0</v>
      </c>
      <c r="EH25" s="532">
        <v>0</v>
      </c>
      <c r="EI25" s="532">
        <v>0</v>
      </c>
      <c r="EJ25" s="532">
        <v>0</v>
      </c>
      <c r="EK25" s="532">
        <v>0</v>
      </c>
      <c r="EL25" s="532">
        <v>0</v>
      </c>
      <c r="EM25" s="532">
        <v>0</v>
      </c>
      <c r="EN25" s="532">
        <v>0</v>
      </c>
      <c r="EO25" s="532">
        <v>0</v>
      </c>
      <c r="EP25" s="532">
        <v>0</v>
      </c>
      <c r="EQ25" s="532">
        <v>0</v>
      </c>
      <c r="ER25" s="532">
        <v>0</v>
      </c>
      <c r="ES25" s="532">
        <v>0</v>
      </c>
      <c r="ET25" s="532">
        <v>0</v>
      </c>
      <c r="EU25" s="532">
        <v>0</v>
      </c>
      <c r="EV25" s="532">
        <v>0</v>
      </c>
      <c r="EW25" s="532">
        <v>0</v>
      </c>
      <c r="EX25" s="532">
        <v>0</v>
      </c>
      <c r="EY25" s="532">
        <v>0</v>
      </c>
      <c r="EZ25" s="532">
        <v>0</v>
      </c>
      <c r="FA25" s="532">
        <v>0</v>
      </c>
      <c r="FB25" s="532">
        <v>0</v>
      </c>
      <c r="FC25" s="532">
        <v>0</v>
      </c>
      <c r="FD25" s="532">
        <v>0</v>
      </c>
      <c r="FE25" s="532">
        <v>0</v>
      </c>
      <c r="FF25" s="532">
        <v>0</v>
      </c>
      <c r="FG25" s="532">
        <v>0</v>
      </c>
      <c r="FH25" s="532">
        <v>0</v>
      </c>
      <c r="FI25" s="532">
        <v>0</v>
      </c>
      <c r="FJ25" s="532">
        <v>0</v>
      </c>
      <c r="FK25" s="532">
        <v>0</v>
      </c>
      <c r="FL25" s="532">
        <v>0</v>
      </c>
      <c r="FM25" s="532">
        <v>0</v>
      </c>
      <c r="FN25" s="532">
        <v>0</v>
      </c>
      <c r="FO25" s="532">
        <v>0</v>
      </c>
      <c r="FP25" s="532">
        <v>0</v>
      </c>
      <c r="FQ25" s="532">
        <v>0</v>
      </c>
      <c r="FR25" s="532">
        <v>0</v>
      </c>
      <c r="FS25" s="532">
        <v>0</v>
      </c>
      <c r="FT25" s="532">
        <v>0</v>
      </c>
      <c r="FU25" s="532">
        <v>0</v>
      </c>
      <c r="FV25" s="532">
        <v>0</v>
      </c>
      <c r="FW25" s="532">
        <v>0</v>
      </c>
      <c r="FX25" s="532">
        <v>8</v>
      </c>
      <c r="FY25" s="532">
        <v>8</v>
      </c>
      <c r="FZ25" s="532">
        <v>8</v>
      </c>
      <c r="GA25" s="532">
        <v>8</v>
      </c>
      <c r="GB25" s="532">
        <v>8</v>
      </c>
      <c r="GC25" s="532">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7" hidden="1" customWidth="1"/>
    <col min="2" max="2" width="9.140625" style="10" hidden="1" customWidth="1"/>
    <col min="3" max="3" width="4" style="84" customWidth="1"/>
    <col min="4" max="4" width="6" style="10" customWidth="1"/>
    <col min="5" max="5" width="36" style="10" customWidth="1"/>
    <col min="6" max="6" width="9" style="10" customWidth="1"/>
    <col min="7" max="7" width="42.42578125" style="10" hidden="1" customWidth="1"/>
    <col min="8" max="8" width="40.7109375" style="10" customWidth="1"/>
    <col min="9" max="9" width="93" style="60" customWidth="1"/>
    <col min="10" max="17" width="10" style="10" customWidth="1"/>
    <col min="18" max="18" width="10" style="299" customWidth="1"/>
    <col min="19" max="19" width="10.5703125" style="10" hidden="1"/>
  </cols>
  <sheetData>
    <row r="1" spans="1:19" s="60" customFormat="1" ht="15" hidden="1" customHeight="1">
      <c r="C1" s="298"/>
      <c r="H1" s="60">
        <v>4</v>
      </c>
      <c r="R1" s="233"/>
      <c r="S1" s="60" t="s">
        <v>14</v>
      </c>
    </row>
    <row r="2" spans="1:19" ht="22.5" hidden="1" customHeight="1">
      <c r="C2" s="1038" t="s">
        <v>493</v>
      </c>
      <c r="D2" s="42"/>
      <c r="E2" s="214"/>
      <c r="F2" s="40" t="str">
        <f>IF(TEMPLATE_SPHERE="HEAT","Гкал/час","тыс. куб. м/сутки")</f>
        <v>тыс. куб. м/сутки</v>
      </c>
      <c r="G2" s="383"/>
      <c r="H2" s="383"/>
      <c r="I2" s="64"/>
      <c r="S2" s="10">
        <v>0</v>
      </c>
    </row>
    <row r="3" spans="1:19" s="60" customFormat="1" ht="15" hidden="1" customHeight="1">
      <c r="C3" s="298"/>
      <c r="R3" s="233"/>
      <c r="S3" s="60">
        <v>0</v>
      </c>
    </row>
    <row r="4" spans="1:19" ht="15.75" customHeight="1">
      <c r="S4" s="10">
        <v>15</v>
      </c>
    </row>
    <row r="5" spans="1:19" ht="39.75" customHeight="1">
      <c r="D5" s="126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264"/>
      <c r="F5" s="1264"/>
      <c r="G5" s="1264"/>
      <c r="H5" s="1264"/>
      <c r="S5" s="10">
        <v>38</v>
      </c>
    </row>
    <row r="6" spans="1:19" ht="15.75" customHeight="1">
      <c r="D6" s="1236" t="str">
        <f>IF(org=0,"Не определено",org)</f>
        <v>Общество с ограниченной ответственностью "Березовский рудник"</v>
      </c>
      <c r="E6" s="1236"/>
      <c r="F6" s="1236"/>
      <c r="G6" s="1236"/>
      <c r="H6" s="1236"/>
      <c r="S6" s="10">
        <v>15</v>
      </c>
    </row>
    <row r="7" spans="1:19" s="10" customFormat="1" ht="15.75" customHeight="1">
      <c r="A7" s="7"/>
      <c r="C7" s="84"/>
      <c r="D7" s="339"/>
      <c r="E7" s="339"/>
      <c r="F7" s="339"/>
      <c r="G7" s="339"/>
      <c r="H7" s="432"/>
      <c r="I7" s="60"/>
      <c r="R7" s="299"/>
      <c r="S7" s="10">
        <v>15</v>
      </c>
    </row>
    <row r="8" spans="1:19" ht="1.1499999999999999" customHeight="1">
      <c r="H8" s="60" t="s">
        <v>115</v>
      </c>
      <c r="S8" s="10">
        <v>1</v>
      </c>
    </row>
    <row r="9" spans="1:19" ht="15.75" customHeight="1">
      <c r="D9" s="406"/>
      <c r="E9" s="1370" t="s">
        <v>103</v>
      </c>
      <c r="F9" s="1371"/>
      <c r="G9" s="464" t="str">
        <f>IF(G8="","",INDEX(DIFFERENTIATION_UNMERGE_VD,MATCH(G8,DIFFERENTIATION_ID_DIFF,0)))</f>
        <v/>
      </c>
      <c r="H9" s="464">
        <f>IF(H8="","",INDEX(DIFFERENTIATION_UNMERGE_VD,MATCH(H8,DIFFERENTIATION_ID_DIFF,0)))</f>
        <v>0</v>
      </c>
      <c r="I9" s="1146" t="s">
        <v>301</v>
      </c>
      <c r="S9" s="10">
        <v>15</v>
      </c>
    </row>
    <row r="10" spans="1:19" s="10" customFormat="1" ht="15.75" customHeight="1">
      <c r="A10" s="7"/>
      <c r="C10" s="84"/>
      <c r="D10" s="406"/>
      <c r="E10" s="1370" t="s">
        <v>563</v>
      </c>
      <c r="F10" s="1371"/>
      <c r="G10" s="464" t="str">
        <f>IF(G8="","",INDEX(DIFFERENTIATION_UNMERGE_AREA,MATCH(G8,DIFFERENTIATION_ID_DIFF,0)))</f>
        <v/>
      </c>
      <c r="H10" s="464" t="str">
        <f>IF(H8="","",INDEX(DIFFERENTIATION_UNMERGE_AREA,MATCH(H8,DIFFERENTIATION_ID_DIFF,0)))</f>
        <v/>
      </c>
      <c r="I10" s="1146"/>
      <c r="R10" s="299"/>
      <c r="S10" s="10">
        <v>15</v>
      </c>
    </row>
    <row r="11" spans="1:19" s="10" customFormat="1" ht="15.75" customHeight="1">
      <c r="A11" s="7"/>
      <c r="C11" s="84"/>
      <c r="D11" s="406"/>
      <c r="E11" s="1370" t="s">
        <v>564</v>
      </c>
      <c r="F11" s="1371"/>
      <c r="G11" s="464" t="str">
        <f>IF(G8="","",INDEX(DIFFERENTIATION_UNMERGE_SYSTEM,MATCH(G8,DIFFERENTIATION_ID_DIFF,0)))</f>
        <v/>
      </c>
      <c r="H11" s="464" t="str">
        <f>IF(H8="","",INDEX(DIFFERENTIATION_UNMERGE_SYSTEM,MATCH(H8,DIFFERENTIATION_ID_DIFF,0)))</f>
        <v>без дифференциации</v>
      </c>
      <c r="I11" s="1146"/>
      <c r="R11" s="299"/>
      <c r="S11" s="10">
        <v>15</v>
      </c>
    </row>
    <row r="12" spans="1:19" s="10" customFormat="1" ht="15.75" customHeight="1">
      <c r="A12" s="7"/>
      <c r="C12" s="84"/>
      <c r="D12" s="1372" t="s">
        <v>300</v>
      </c>
      <c r="E12" s="1373"/>
      <c r="F12" s="1373"/>
      <c r="G12" s="509"/>
      <c r="H12" s="509"/>
      <c r="I12" s="1146"/>
      <c r="R12" s="299"/>
      <c r="S12" s="10">
        <v>15</v>
      </c>
    </row>
    <row r="13" spans="1:19" ht="35.65" customHeight="1">
      <c r="D13" s="40" t="s">
        <v>86</v>
      </c>
      <c r="E13" s="40" t="s">
        <v>302</v>
      </c>
      <c r="F13" s="40" t="s">
        <v>565</v>
      </c>
      <c r="G13" s="386" t="s">
        <v>303</v>
      </c>
      <c r="H13" s="386" t="s">
        <v>303</v>
      </c>
      <c r="I13" s="1146"/>
      <c r="S13" s="10">
        <v>34</v>
      </c>
    </row>
    <row r="14" spans="1:19" ht="15" hidden="1" customHeight="1">
      <c r="D14" s="341" t="s">
        <v>107</v>
      </c>
      <c r="E14" s="341" t="s">
        <v>108</v>
      </c>
      <c r="F14" s="341" t="s">
        <v>88</v>
      </c>
      <c r="G14" s="84" t="str">
        <f>G1&amp;".1"</f>
        <v>.1</v>
      </c>
      <c r="H14" s="84" t="str">
        <f>H1&amp;".1"</f>
        <v>4.1</v>
      </c>
      <c r="I14" s="64"/>
      <c r="S14" s="10">
        <v>0</v>
      </c>
    </row>
    <row r="15" spans="1:19" ht="15.75" customHeight="1">
      <c r="A15" s="10"/>
      <c r="C15" s="74"/>
      <c r="D15" s="40">
        <v>1</v>
      </c>
      <c r="E15" s="149" t="str">
        <f>TP_P_A</f>
        <v xml:space="preserve">Количество поданных заявлений </v>
      </c>
      <c r="F15" s="40" t="s">
        <v>1113</v>
      </c>
      <c r="G15" s="387"/>
      <c r="H15" s="387"/>
      <c r="I15" s="111"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10">
        <v>15</v>
      </c>
    </row>
    <row r="16" spans="1:19" ht="15.75" customHeight="1">
      <c r="A16" s="10"/>
      <c r="C16" s="74"/>
      <c r="D16" s="40">
        <v>2</v>
      </c>
      <c r="E16" s="149" t="str">
        <f>TP_P_B</f>
        <v xml:space="preserve">Количество исполненных заявлений </v>
      </c>
      <c r="F16" s="40" t="s">
        <v>1113</v>
      </c>
      <c r="G16" s="387"/>
      <c r="H16" s="387"/>
      <c r="I16" s="111"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10">
        <v>15</v>
      </c>
    </row>
    <row r="17" spans="1:19" ht="77.650000000000006" customHeight="1">
      <c r="A17" s="10"/>
      <c r="C17" s="74"/>
      <c r="D17" s="40">
        <v>3</v>
      </c>
      <c r="E17" s="149"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0" t="s">
        <v>1113</v>
      </c>
      <c r="G17" s="387"/>
      <c r="H17" s="387"/>
      <c r="I17" s="111"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10">
        <v>74</v>
      </c>
    </row>
    <row r="18" spans="1:19" ht="54.75" customHeight="1">
      <c r="A18" s="10"/>
      <c r="C18" s="74"/>
      <c r="D18" s="40">
        <v>4</v>
      </c>
      <c r="E18" s="149"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0" t="s">
        <v>306</v>
      </c>
      <c r="G18" s="388"/>
      <c r="H18" s="388"/>
      <c r="I18" s="14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10">
        <v>52</v>
      </c>
    </row>
    <row r="19" spans="1:19" ht="60" customHeight="1">
      <c r="A19" s="10"/>
      <c r="C19" s="74"/>
      <c r="D19" s="40">
        <v>5</v>
      </c>
      <c r="E19" s="149"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0" t="str">
        <f>IF(TEMPLATE_SPHERE="HEAT","Гкал/час","тыс. куб. м/сутки")</f>
        <v>тыс. куб. м/сутки</v>
      </c>
      <c r="G19" s="389">
        <f>SUM(G20:G22)</f>
        <v>0</v>
      </c>
      <c r="H19" s="389">
        <f>SUM(H20:H22)</f>
        <v>0</v>
      </c>
      <c r="I19" s="111"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10">
        <v>57</v>
      </c>
    </row>
    <row r="20" spans="1:19" ht="15" hidden="1" customHeight="1">
      <c r="D20" s="10" t="s">
        <v>1114</v>
      </c>
      <c r="E20" s="339"/>
      <c r="I20" s="969"/>
      <c r="S20" s="10">
        <v>0</v>
      </c>
    </row>
    <row r="21" spans="1:19" ht="29.25" customHeight="1">
      <c r="C21" s="74"/>
      <c r="D21" s="42" t="s">
        <v>313</v>
      </c>
      <c r="E21" s="116"/>
      <c r="F21" s="40" t="str">
        <f>IF(TEMPLATE_SPHERE="HEAT","Гкал/час","тыс. куб. м/сутки")</f>
        <v>тыс. куб. м/сутки</v>
      </c>
      <c r="G21" s="383"/>
      <c r="H21" s="383"/>
      <c r="I21" s="1190"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10">
        <v>28</v>
      </c>
    </row>
    <row r="22" spans="1:19" ht="15.75" customHeight="1">
      <c r="A22" s="10"/>
      <c r="C22" s="10"/>
      <c r="D22" s="39"/>
      <c r="E22" s="107" t="s">
        <v>1115</v>
      </c>
      <c r="F22" s="331"/>
      <c r="G22" s="331"/>
      <c r="H22" s="331"/>
      <c r="I22" s="1192"/>
      <c r="R22" s="10"/>
      <c r="S22" s="10">
        <v>15</v>
      </c>
    </row>
    <row r="23" spans="1:19" ht="22.5" hidden="1" customHeight="1">
      <c r="A23" s="7" t="s">
        <v>80</v>
      </c>
      <c r="B23" s="10">
        <v>0</v>
      </c>
      <c r="C23" s="84">
        <v>4</v>
      </c>
      <c r="D23" s="10">
        <v>6</v>
      </c>
      <c r="E23" s="10">
        <v>36</v>
      </c>
      <c r="F23" s="10">
        <v>9</v>
      </c>
      <c r="G23" s="10">
        <v>0</v>
      </c>
      <c r="H23" s="10">
        <v>40</v>
      </c>
      <c r="I23" s="60">
        <v>93</v>
      </c>
      <c r="J23" s="10">
        <v>10</v>
      </c>
      <c r="K23" s="10">
        <v>10</v>
      </c>
      <c r="L23" s="10">
        <v>10</v>
      </c>
      <c r="M23" s="10">
        <v>10</v>
      </c>
      <c r="N23" s="10">
        <v>10</v>
      </c>
      <c r="O23" s="10">
        <v>10</v>
      </c>
      <c r="P23" s="10">
        <v>10</v>
      </c>
      <c r="Q23" s="10">
        <v>10</v>
      </c>
      <c r="R23" s="299">
        <v>10</v>
      </c>
      <c r="S23" s="1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32" hidden="1" customWidth="1"/>
    <col min="2" max="2" width="9.140625" style="60" hidden="1" customWidth="1"/>
    <col min="3" max="3" width="3" style="28" customWidth="1"/>
    <col min="4" max="4" width="6" style="10" customWidth="1"/>
    <col min="5" max="6" width="64" style="10" customWidth="1"/>
    <col min="7" max="7" width="140" style="10" customWidth="1"/>
    <col min="8" max="8" width="10" style="10" customWidth="1"/>
    <col min="9" max="10" width="10" style="66" customWidth="1"/>
    <col min="11" max="16" width="10" style="10" customWidth="1"/>
    <col min="17" max="17" width="10.5703125" style="10" hidden="1"/>
  </cols>
  <sheetData>
    <row r="1" spans="1:17" ht="22.5" hidden="1" customHeight="1">
      <c r="M1" s="147"/>
      <c r="N1" s="147"/>
      <c r="P1" s="147"/>
      <c r="Q1" s="10" t="s">
        <v>14</v>
      </c>
    </row>
    <row r="2" spans="1:17" ht="14.25" hidden="1" customHeight="1">
      <c r="Q2" s="10">
        <v>0</v>
      </c>
    </row>
    <row r="3" spans="1:17" ht="14.25" hidden="1" customHeight="1">
      <c r="Q3" s="10">
        <v>0</v>
      </c>
    </row>
    <row r="4" spans="1:17" ht="3" customHeight="1">
      <c r="C4" s="27"/>
      <c r="D4" s="9"/>
      <c r="E4" s="9"/>
      <c r="F4" s="19"/>
      <c r="G4" s="19"/>
      <c r="Q4" s="10">
        <v>3</v>
      </c>
    </row>
    <row r="5" spans="1:17" ht="29.25" customHeight="1">
      <c r="C5" s="27"/>
      <c r="D5" s="119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197"/>
      <c r="F5" s="1197"/>
      <c r="G5" s="1198"/>
      <c r="Q5" s="10">
        <v>28</v>
      </c>
    </row>
    <row r="6" spans="1:17" s="10" customFormat="1" ht="18.75" customHeight="1">
      <c r="A6" s="32"/>
      <c r="B6" s="60"/>
      <c r="C6" s="27"/>
      <c r="D6" s="1258" t="str">
        <f>IF(org=0,"Не определено",org)</f>
        <v>Общество с ограниченной ответственностью "Березовский рудник"</v>
      </c>
      <c r="E6" s="1259"/>
      <c r="F6" s="1259"/>
      <c r="G6" s="1260"/>
      <c r="I6" s="66"/>
      <c r="J6" s="66"/>
      <c r="Q6" s="10">
        <v>18</v>
      </c>
    </row>
    <row r="7" spans="1:17" ht="14.65" customHeight="1">
      <c r="C7" s="27"/>
      <c r="D7" s="9"/>
      <c r="E7" s="13"/>
      <c r="F7" s="432"/>
      <c r="G7" s="98"/>
      <c r="Q7" s="10">
        <v>14</v>
      </c>
    </row>
    <row r="8" spans="1:17" s="10" customFormat="1" ht="1.1499999999999999" customHeight="1">
      <c r="A8" s="32"/>
      <c r="B8" s="60"/>
      <c r="C8" s="27"/>
      <c r="D8" s="9"/>
      <c r="E8" s="13"/>
      <c r="F8" s="432"/>
      <c r="G8" s="98"/>
      <c r="I8" s="66"/>
      <c r="J8" s="66"/>
      <c r="Q8" s="10">
        <v>1</v>
      </c>
    </row>
    <row r="9" spans="1:17" ht="14.65" customHeight="1">
      <c r="C9" s="27"/>
      <c r="D9" s="1244" t="s">
        <v>300</v>
      </c>
      <c r="E9" s="1244"/>
      <c r="F9" s="1244"/>
      <c r="G9" s="1387" t="s">
        <v>301</v>
      </c>
      <c r="Q9" s="10">
        <v>14</v>
      </c>
    </row>
    <row r="10" spans="1:17" ht="24" customHeight="1">
      <c r="C10" s="27"/>
      <c r="D10" s="35" t="s">
        <v>86</v>
      </c>
      <c r="E10" s="38" t="s">
        <v>302</v>
      </c>
      <c r="F10" s="38" t="s">
        <v>390</v>
      </c>
      <c r="G10" s="1387"/>
      <c r="Q10" s="10">
        <v>23</v>
      </c>
    </row>
    <row r="11" spans="1:17" ht="12" hidden="1" customHeight="1">
      <c r="C11" s="27"/>
      <c r="D11" s="21"/>
      <c r="E11" s="21"/>
      <c r="F11" s="21"/>
      <c r="G11" s="21"/>
      <c r="Q11" s="10">
        <v>0</v>
      </c>
    </row>
    <row r="12" spans="1:17" ht="65.25" customHeight="1">
      <c r="A12" s="33"/>
      <c r="C12" s="27"/>
      <c r="D12" s="61">
        <v>1</v>
      </c>
      <c r="E12" s="102"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38" t="s">
        <v>306</v>
      </c>
      <c r="G12" s="64"/>
      <c r="Q12" s="10">
        <v>62</v>
      </c>
    </row>
    <row r="13" spans="1:17" ht="24" customHeight="1">
      <c r="A13" s="33"/>
      <c r="C13" s="27"/>
      <c r="D13" s="61" t="s">
        <v>1020</v>
      </c>
      <c r="E13" s="9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8" t="s">
        <v>306</v>
      </c>
      <c r="G13" s="64"/>
      <c r="Q13" s="10">
        <v>23</v>
      </c>
    </row>
    <row r="14" spans="1:17" ht="14.65" customHeight="1">
      <c r="A14" s="33"/>
      <c r="C14" s="27"/>
      <c r="D14" s="61" t="s">
        <v>1056</v>
      </c>
      <c r="E14" s="100"/>
      <c r="F14" s="114"/>
      <c r="G14" s="119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0">
        <v>14</v>
      </c>
    </row>
    <row r="15" spans="1:17" ht="15.75" customHeight="1">
      <c r="A15" s="33"/>
      <c r="C15" s="27"/>
      <c r="D15" s="39"/>
      <c r="E15" s="108" t="s">
        <v>1116</v>
      </c>
      <c r="F15" s="105"/>
      <c r="G15" s="1192"/>
      <c r="Q15" s="10">
        <v>15</v>
      </c>
    </row>
    <row r="16" spans="1:17" ht="14.65" customHeight="1">
      <c r="A16" s="33"/>
      <c r="C16" s="27"/>
      <c r="D16" s="61" t="s">
        <v>1022</v>
      </c>
      <c r="E16" s="9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38" t="s">
        <v>306</v>
      </c>
      <c r="G16" s="169"/>
      <c r="Q16" s="10">
        <v>14</v>
      </c>
    </row>
    <row r="17" spans="1:17" ht="14.65" customHeight="1">
      <c r="A17" s="33"/>
      <c r="C17" s="27"/>
      <c r="D17" s="61" t="s">
        <v>1064</v>
      </c>
      <c r="E17" s="100"/>
      <c r="F17" s="217"/>
      <c r="G17" s="119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10">
        <v>14</v>
      </c>
    </row>
    <row r="18" spans="1:17" s="10" customFormat="1" ht="21.95" customHeight="1">
      <c r="A18" s="33"/>
      <c r="B18" s="60"/>
      <c r="C18" s="27"/>
      <c r="D18" s="39"/>
      <c r="E18" s="108" t="s">
        <v>1117</v>
      </c>
      <c r="F18" s="50"/>
      <c r="G18" s="1192"/>
      <c r="I18" s="66"/>
      <c r="J18" s="66"/>
      <c r="Q18" s="10">
        <v>21</v>
      </c>
    </row>
    <row r="19" spans="1:17" s="10" customFormat="1" ht="256.5" hidden="1" customHeight="1">
      <c r="A19" s="33"/>
      <c r="B19" s="60"/>
      <c r="C19" s="27"/>
      <c r="D19" s="61" t="s">
        <v>1024</v>
      </c>
      <c r="E19" s="99" t="s">
        <v>1118</v>
      </c>
      <c r="F19" s="217"/>
      <c r="G19" s="169" t="s">
        <v>1119</v>
      </c>
      <c r="I19" s="66"/>
      <c r="J19" s="66"/>
      <c r="Q19" s="10">
        <v>0</v>
      </c>
    </row>
    <row r="20" spans="1:17" s="10" customFormat="1" ht="14.65" customHeight="1">
      <c r="A20" s="33"/>
      <c r="B20" s="60"/>
      <c r="C20" s="27"/>
      <c r="D20" s="249">
        <v>2</v>
      </c>
      <c r="E20" s="99" t="s">
        <v>1120</v>
      </c>
      <c r="F20" s="38" t="s">
        <v>306</v>
      </c>
      <c r="G20" s="169"/>
      <c r="I20" s="66"/>
      <c r="J20" s="66"/>
      <c r="Q20" s="10">
        <v>14</v>
      </c>
    </row>
    <row r="21" spans="1:17" s="10" customFormat="1" ht="18.75" hidden="1" customHeight="1">
      <c r="A21" s="33"/>
      <c r="B21" s="60"/>
      <c r="C21" s="27"/>
      <c r="D21" s="192" t="s">
        <v>635</v>
      </c>
      <c r="E21" s="191"/>
      <c r="F21" s="190"/>
      <c r="G21" s="198"/>
      <c r="H21" s="193"/>
      <c r="I21" s="66"/>
      <c r="J21" s="66"/>
      <c r="Q21" s="10">
        <v>0</v>
      </c>
    </row>
    <row r="22" spans="1:17" ht="15.75" customHeight="1">
      <c r="A22" s="33"/>
      <c r="C22" s="27"/>
      <c r="D22" s="39"/>
      <c r="E22" s="107" t="s">
        <v>322</v>
      </c>
      <c r="F22" s="50"/>
      <c r="G22" s="196"/>
      <c r="Q22" s="10">
        <v>15</v>
      </c>
    </row>
    <row r="23" spans="1:17" s="10" customFormat="1" ht="22.5" hidden="1" customHeight="1">
      <c r="A23" s="33"/>
      <c r="B23" s="60"/>
      <c r="C23" s="27"/>
      <c r="D23" s="61" t="s">
        <v>108</v>
      </c>
      <c r="E23" s="102" t="s">
        <v>1121</v>
      </c>
      <c r="F23" s="38" t="s">
        <v>306</v>
      </c>
      <c r="G23" s="64"/>
      <c r="I23" s="66"/>
      <c r="J23" s="66"/>
      <c r="Q23" s="10">
        <v>0</v>
      </c>
    </row>
    <row r="24" spans="1:17" s="10" customFormat="1" ht="14.25" hidden="1" customHeight="1">
      <c r="A24" s="33"/>
      <c r="B24" s="60"/>
      <c r="C24" s="27"/>
      <c r="D24" s="61" t="s">
        <v>707</v>
      </c>
      <c r="E24" s="99" t="s">
        <v>1122</v>
      </c>
      <c r="F24" s="38" t="s">
        <v>306</v>
      </c>
      <c r="G24" s="169"/>
      <c r="I24" s="66"/>
      <c r="J24" s="66"/>
      <c r="Q24" s="10">
        <v>0</v>
      </c>
    </row>
    <row r="25" spans="1:17" s="10" customFormat="1" ht="14.25" hidden="1" customHeight="1">
      <c r="A25" s="33"/>
      <c r="B25" s="60"/>
      <c r="C25" s="27"/>
      <c r="D25" s="61" t="s">
        <v>710</v>
      </c>
      <c r="E25" s="100"/>
      <c r="F25" s="217"/>
      <c r="G25" s="1190" t="s">
        <v>1123</v>
      </c>
      <c r="I25" s="66"/>
      <c r="J25" s="66"/>
      <c r="Q25" s="10">
        <v>0</v>
      </c>
    </row>
    <row r="26" spans="1:17" s="10" customFormat="1" ht="22.5" hidden="1" customHeight="1">
      <c r="A26" s="33"/>
      <c r="B26" s="60"/>
      <c r="C26" s="27"/>
      <c r="D26" s="39"/>
      <c r="E26" s="108" t="s">
        <v>1124</v>
      </c>
      <c r="F26" s="50"/>
      <c r="G26" s="1192"/>
      <c r="I26" s="66"/>
      <c r="J26" s="66"/>
      <c r="Q26" s="10">
        <v>0</v>
      </c>
    </row>
    <row r="27" spans="1:17" ht="3" customHeight="1">
      <c r="Q27" s="10">
        <v>3</v>
      </c>
    </row>
    <row r="28" spans="1:17" ht="14.65" customHeight="1">
      <c r="D28" s="195"/>
      <c r="E28" s="194"/>
      <c r="F28" s="3"/>
      <c r="G28" s="3"/>
      <c r="H28" s="3"/>
      <c r="I28" s="3"/>
      <c r="J28" s="3"/>
      <c r="K28" s="3"/>
      <c r="L28" s="3"/>
      <c r="M28" s="3"/>
      <c r="N28" s="3"/>
      <c r="O28" s="3"/>
      <c r="P28" s="3"/>
      <c r="Q28" s="10">
        <v>14</v>
      </c>
    </row>
    <row r="29" spans="1:17" ht="14.65" customHeight="1">
      <c r="D29" s="195"/>
      <c r="E29" s="16"/>
      <c r="Q29" s="10">
        <v>14</v>
      </c>
    </row>
    <row r="30" spans="1:17" ht="14.65" customHeight="1">
      <c r="Q30" s="10">
        <v>14</v>
      </c>
    </row>
    <row r="31" spans="1:17" ht="14.65" customHeight="1">
      <c r="Q31" s="10">
        <v>14</v>
      </c>
    </row>
    <row r="32" spans="1:17" ht="22.5" hidden="1" customHeight="1">
      <c r="A32" s="32" t="s">
        <v>80</v>
      </c>
      <c r="B32" s="60">
        <v>0</v>
      </c>
      <c r="C32" s="28">
        <v>3</v>
      </c>
      <c r="D32" s="10">
        <v>6</v>
      </c>
      <c r="E32" s="10">
        <v>64</v>
      </c>
      <c r="F32" s="10">
        <v>64</v>
      </c>
      <c r="G32" s="10">
        <v>140</v>
      </c>
      <c r="H32" s="10">
        <v>10</v>
      </c>
      <c r="I32" s="66">
        <v>10</v>
      </c>
      <c r="J32" s="66">
        <v>10</v>
      </c>
      <c r="K32" s="10">
        <v>10</v>
      </c>
      <c r="L32" s="10">
        <v>10</v>
      </c>
      <c r="M32" s="10">
        <v>10</v>
      </c>
      <c r="N32" s="10">
        <v>10</v>
      </c>
      <c r="O32" s="10">
        <v>10</v>
      </c>
      <c r="P32" s="10">
        <v>10</v>
      </c>
      <c r="Q32" s="10">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503" hidden="1" customWidth="1"/>
    <col min="2" max="2" width="9.140625" style="60" hidden="1" customWidth="1"/>
    <col min="3" max="3" width="3" style="28" customWidth="1"/>
    <col min="4" max="4" width="6" style="10" customWidth="1"/>
    <col min="5" max="5" width="63" style="10" customWidth="1"/>
    <col min="6" max="6" width="1.7109375" style="10" hidden="1" customWidth="1"/>
    <col min="7" max="8" width="35" style="10" customWidth="1"/>
    <col min="9" max="9" width="91" style="10" customWidth="1"/>
    <col min="10" max="10" width="68" style="10" customWidth="1"/>
    <col min="11" max="12" width="10" style="66" customWidth="1"/>
    <col min="13" max="13" width="10.5703125" style="10" hidden="1"/>
  </cols>
  <sheetData>
    <row r="1" spans="1:13" ht="22.5" hidden="1" customHeight="1">
      <c r="M1" s="10" t="s">
        <v>14</v>
      </c>
    </row>
    <row r="2" spans="1:13" s="10" customFormat="1" ht="18.75" hidden="1" customHeight="1">
      <c r="A2" s="59"/>
      <c r="B2" s="60"/>
      <c r="C2" s="938" t="s">
        <v>493</v>
      </c>
      <c r="D2" s="61"/>
      <c r="E2" s="103"/>
      <c r="F2" s="38"/>
      <c r="G2" s="38" t="s">
        <v>306</v>
      </c>
      <c r="H2" s="114"/>
      <c r="K2" s="66"/>
      <c r="L2" s="66"/>
      <c r="M2" s="10">
        <v>0</v>
      </c>
    </row>
    <row r="3" spans="1:13" s="10" customFormat="1" ht="14.25" hidden="1" customHeight="1">
      <c r="A3" s="503"/>
      <c r="B3" s="60"/>
      <c r="C3" s="28"/>
      <c r="K3" s="66"/>
      <c r="L3" s="66"/>
      <c r="M3" s="10">
        <v>0</v>
      </c>
    </row>
    <row r="4" spans="1:13" s="10" customFormat="1" ht="18.75" hidden="1" customHeight="1">
      <c r="A4" s="59"/>
      <c r="B4" s="60"/>
      <c r="C4" s="938" t="s">
        <v>493</v>
      </c>
      <c r="D4" s="61"/>
      <c r="E4" s="99" t="s">
        <v>1125</v>
      </c>
      <c r="F4" s="38"/>
      <c r="G4" s="148"/>
      <c r="H4" s="38" t="s">
        <v>306</v>
      </c>
      <c r="K4" s="66"/>
      <c r="L4" s="66"/>
      <c r="M4" s="10">
        <v>0</v>
      </c>
    </row>
    <row r="5" spans="1:13" s="10" customFormat="1" ht="14.25" hidden="1" customHeight="1">
      <c r="A5" s="503"/>
      <c r="B5" s="60"/>
      <c r="C5" s="28"/>
      <c r="K5" s="66"/>
      <c r="L5" s="66"/>
      <c r="M5" s="10">
        <v>0</v>
      </c>
    </row>
    <row r="6" spans="1:13" s="10" customFormat="1" ht="18.75" hidden="1" customHeight="1">
      <c r="A6" s="59"/>
      <c r="B6" s="60"/>
      <c r="C6" s="938" t="s">
        <v>493</v>
      </c>
      <c r="D6" s="61"/>
      <c r="E6" s="109" t="s">
        <v>1126</v>
      </c>
      <c r="F6" s="38"/>
      <c r="G6" s="148"/>
      <c r="H6" s="38" t="s">
        <v>306</v>
      </c>
      <c r="K6" s="66"/>
      <c r="L6" s="66"/>
      <c r="M6" s="10">
        <v>0</v>
      </c>
    </row>
    <row r="7" spans="1:13" s="10" customFormat="1" ht="14.25" hidden="1" customHeight="1">
      <c r="A7" s="503"/>
      <c r="B7" s="60"/>
      <c r="C7" s="28"/>
      <c r="K7" s="66"/>
      <c r="L7" s="66"/>
      <c r="M7" s="10">
        <v>0</v>
      </c>
    </row>
    <row r="8" spans="1:13" s="10" customFormat="1" ht="18.75" hidden="1" customHeight="1">
      <c r="A8" s="59"/>
      <c r="B8" s="60"/>
      <c r="C8" s="938" t="s">
        <v>493</v>
      </c>
      <c r="D8" s="61"/>
      <c r="E8" s="109" t="s">
        <v>1127</v>
      </c>
      <c r="F8" s="38"/>
      <c r="G8" s="148"/>
      <c r="H8" s="38" t="s">
        <v>306</v>
      </c>
      <c r="K8" s="66"/>
      <c r="L8" s="66"/>
      <c r="M8" s="10">
        <v>0</v>
      </c>
    </row>
    <row r="9" spans="1:13" s="10" customFormat="1" ht="14.25" hidden="1" customHeight="1">
      <c r="A9" s="503"/>
      <c r="B9" s="60"/>
      <c r="C9" s="28"/>
      <c r="K9" s="66"/>
      <c r="L9" s="66"/>
      <c r="M9" s="10">
        <v>0</v>
      </c>
    </row>
    <row r="10" spans="1:13" s="10" customFormat="1" ht="18.75" hidden="1" customHeight="1">
      <c r="A10" s="59"/>
      <c r="B10" s="60"/>
      <c r="C10" s="938" t="s">
        <v>493</v>
      </c>
      <c r="D10" s="61"/>
      <c r="E10" s="109" t="s">
        <v>1128</v>
      </c>
      <c r="F10" s="38"/>
      <c r="G10" s="110"/>
      <c r="H10" s="38" t="s">
        <v>306</v>
      </c>
      <c r="K10" s="66"/>
      <c r="L10" s="66" t="s">
        <v>1129</v>
      </c>
      <c r="M10" s="10">
        <v>0</v>
      </c>
    </row>
    <row r="11" spans="1:13" ht="14.25" hidden="1" customHeight="1">
      <c r="M11" s="10">
        <v>0</v>
      </c>
    </row>
    <row r="12" spans="1:13" ht="14.25" hidden="1" customHeight="1">
      <c r="M12" s="10">
        <v>0</v>
      </c>
    </row>
    <row r="13" spans="1:13" ht="14.65" customHeight="1">
      <c r="C13" s="27"/>
      <c r="D13" s="9"/>
      <c r="E13" s="9"/>
      <c r="F13" s="9"/>
      <c r="G13" s="9"/>
      <c r="H13" s="19"/>
      <c r="I13" s="19"/>
      <c r="M13" s="10">
        <v>14</v>
      </c>
    </row>
    <row r="14" spans="1:13" ht="29.25" customHeight="1">
      <c r="C14" s="27"/>
      <c r="D14" s="119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197"/>
      <c r="F14" s="1197"/>
      <c r="G14" s="1197"/>
      <c r="H14" s="1198"/>
      <c r="M14" s="10">
        <v>28</v>
      </c>
    </row>
    <row r="15" spans="1:13" s="10" customFormat="1" ht="14.65" customHeight="1">
      <c r="A15" s="503"/>
      <c r="B15" s="60"/>
      <c r="C15" s="27"/>
      <c r="D15" s="1258" t="str">
        <f>IF(org=0,"Не определено",org)</f>
        <v>Общество с ограниченной ответственностью "Березовский рудник"</v>
      </c>
      <c r="E15" s="1259"/>
      <c r="F15" s="1259"/>
      <c r="G15" s="1259"/>
      <c r="H15" s="1260"/>
      <c r="J15" s="486"/>
      <c r="K15" s="66"/>
      <c r="L15" s="66"/>
      <c r="M15" s="10">
        <v>14</v>
      </c>
    </row>
    <row r="16" spans="1:13" ht="14.65" customHeight="1">
      <c r="C16" s="27"/>
      <c r="D16" s="9"/>
      <c r="E16" s="13"/>
      <c r="F16" s="13"/>
      <c r="G16" s="13"/>
      <c r="H16" s="432"/>
      <c r="I16" s="98"/>
      <c r="M16" s="10">
        <v>14</v>
      </c>
    </row>
    <row r="17" spans="1:13" s="10" customFormat="1" ht="14.25" hidden="1" customHeight="1">
      <c r="A17" s="503"/>
      <c r="B17" s="60"/>
      <c r="C17" s="27"/>
      <c r="D17" s="9"/>
      <c r="E17" s="13"/>
      <c r="F17" s="13"/>
      <c r="G17" s="13"/>
      <c r="H17" s="432"/>
      <c r="I17" s="98"/>
      <c r="K17" s="66"/>
      <c r="L17" s="66"/>
      <c r="M17" s="10">
        <v>0</v>
      </c>
    </row>
    <row r="18" spans="1:13" ht="21.95" customHeight="1">
      <c r="C18" s="27"/>
      <c r="D18" s="1244" t="s">
        <v>300</v>
      </c>
      <c r="E18" s="1244"/>
      <c r="F18" s="1244"/>
      <c r="G18" s="1244"/>
      <c r="H18" s="1244"/>
      <c r="I18" s="1387" t="s">
        <v>301</v>
      </c>
      <c r="M18" s="10">
        <v>21</v>
      </c>
    </row>
    <row r="19" spans="1:13" ht="21.95" customHeight="1">
      <c r="C19" s="27"/>
      <c r="D19" s="35" t="s">
        <v>86</v>
      </c>
      <c r="E19" s="38" t="s">
        <v>302</v>
      </c>
      <c r="F19" s="38"/>
      <c r="G19" s="38" t="s">
        <v>303</v>
      </c>
      <c r="H19" s="38" t="s">
        <v>390</v>
      </c>
      <c r="I19" s="1387"/>
      <c r="M19" s="10">
        <v>21</v>
      </c>
    </row>
    <row r="20" spans="1:13" ht="12" hidden="1" customHeight="1">
      <c r="C20" s="27"/>
      <c r="D20" s="21"/>
      <c r="E20" s="21"/>
      <c r="F20" s="21"/>
      <c r="G20" s="21"/>
      <c r="H20" s="21"/>
      <c r="I20" s="21"/>
      <c r="M20" s="10">
        <v>0</v>
      </c>
    </row>
    <row r="21" spans="1:13" ht="14.65" customHeight="1">
      <c r="A21" s="59"/>
      <c r="C21" s="27"/>
      <c r="D21" s="61">
        <v>1</v>
      </c>
      <c r="E21" s="1437" t="s">
        <v>1130</v>
      </c>
      <c r="F21" s="1437"/>
      <c r="G21" s="1437"/>
      <c r="H21" s="1437"/>
      <c r="I21" s="111"/>
      <c r="M21" s="10">
        <v>14</v>
      </c>
    </row>
    <row r="22" spans="1:13" ht="21" customHeight="1">
      <c r="A22" s="59"/>
      <c r="C22" s="27"/>
      <c r="D22" s="61" t="s">
        <v>1020</v>
      </c>
      <c r="E22" s="99" t="s">
        <v>1131</v>
      </c>
      <c r="F22" s="38"/>
      <c r="G22" s="945"/>
      <c r="H22" s="38" t="s">
        <v>306</v>
      </c>
      <c r="I22" s="64" t="s">
        <v>1132</v>
      </c>
      <c r="M22" s="10">
        <v>20</v>
      </c>
    </row>
    <row r="23" spans="1:13" ht="60" customHeight="1">
      <c r="A23" s="59"/>
      <c r="C23" s="27"/>
      <c r="D23" s="61" t="s">
        <v>1022</v>
      </c>
      <c r="E23" s="99" t="s">
        <v>1133</v>
      </c>
      <c r="F23" s="38"/>
      <c r="G23" s="148"/>
      <c r="H23" s="114"/>
      <c r="I23" s="149" t="s">
        <v>1134</v>
      </c>
      <c r="M23" s="10">
        <v>57</v>
      </c>
    </row>
    <row r="24" spans="1:13" ht="14.65" customHeight="1">
      <c r="A24" s="59"/>
      <c r="B24" s="60">
        <v>3</v>
      </c>
      <c r="C24" s="27"/>
      <c r="D24" s="61">
        <v>2</v>
      </c>
      <c r="E24" s="12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38"/>
      <c r="G24" s="38" t="s">
        <v>306</v>
      </c>
      <c r="H24" s="114"/>
      <c r="I24" s="150" t="s">
        <v>630</v>
      </c>
      <c r="M24" s="10">
        <v>14</v>
      </c>
    </row>
    <row r="25" spans="1:13" ht="48.2" customHeight="1">
      <c r="A25" s="59"/>
      <c r="C25" s="27"/>
      <c r="D25" s="61">
        <v>3</v>
      </c>
      <c r="E25" s="143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37"/>
      <c r="G25" s="1437"/>
      <c r="H25" s="1437"/>
      <c r="I25" s="111"/>
      <c r="M25" s="10">
        <v>46</v>
      </c>
    </row>
    <row r="26" spans="1:13" ht="14.65" customHeight="1">
      <c r="A26" s="59"/>
      <c r="C26" s="27"/>
      <c r="D26" s="61" t="s">
        <v>324</v>
      </c>
      <c r="E26" s="103"/>
      <c r="F26" s="38"/>
      <c r="G26" s="38" t="s">
        <v>306</v>
      </c>
      <c r="H26" s="114"/>
      <c r="I26" s="1190" t="s">
        <v>1135</v>
      </c>
      <c r="M26" s="10">
        <v>14</v>
      </c>
    </row>
    <row r="27" spans="1:13" ht="15.75" customHeight="1">
      <c r="A27" s="59" t="s">
        <v>107</v>
      </c>
      <c r="C27" s="27"/>
      <c r="D27" s="39"/>
      <c r="E27" s="107" t="s">
        <v>322</v>
      </c>
      <c r="F27" s="108"/>
      <c r="G27" s="108"/>
      <c r="H27" s="105"/>
      <c r="I27" s="1192"/>
      <c r="M27" s="10">
        <v>15</v>
      </c>
    </row>
    <row r="28" spans="1:13" ht="39.75" customHeight="1">
      <c r="A28" s="59"/>
      <c r="B28" s="60">
        <v>3</v>
      </c>
      <c r="C28" s="27"/>
      <c r="D28" s="61">
        <v>4</v>
      </c>
      <c r="E28" s="143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437"/>
      <c r="G28" s="1437"/>
      <c r="H28" s="1437"/>
      <c r="I28" s="111"/>
      <c r="M28" s="10">
        <v>38</v>
      </c>
    </row>
    <row r="29" spans="1:13" ht="21" customHeight="1">
      <c r="A29" s="59"/>
      <c r="C29" s="27"/>
      <c r="D29" s="61" t="s">
        <v>752</v>
      </c>
      <c r="E29" s="99" t="s">
        <v>1125</v>
      </c>
      <c r="F29" s="38"/>
      <c r="G29" s="148"/>
      <c r="H29" s="38" t="s">
        <v>306</v>
      </c>
      <c r="I29" s="1190" t="s">
        <v>1136</v>
      </c>
      <c r="M29" s="10">
        <v>20</v>
      </c>
    </row>
    <row r="30" spans="1:13" ht="15.75" customHeight="1">
      <c r="A30" s="59" t="s">
        <v>108</v>
      </c>
      <c r="C30" s="27"/>
      <c r="D30" s="39"/>
      <c r="E30" s="107" t="s">
        <v>322</v>
      </c>
      <c r="F30" s="108"/>
      <c r="G30" s="108"/>
      <c r="H30" s="105"/>
      <c r="I30" s="1192"/>
      <c r="M30" s="10">
        <v>15</v>
      </c>
    </row>
    <row r="31" spans="1:13" ht="31.5" customHeight="1">
      <c r="A31" s="59"/>
      <c r="B31" s="60">
        <v>3</v>
      </c>
      <c r="C31" s="27"/>
      <c r="D31" s="61">
        <v>5</v>
      </c>
      <c r="E31" s="143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1437"/>
      <c r="G31" s="1437"/>
      <c r="H31" s="1437"/>
      <c r="I31" s="111"/>
      <c r="M31" s="10">
        <v>30</v>
      </c>
    </row>
    <row r="32" spans="1:13" ht="27.4" customHeight="1">
      <c r="A32" s="59"/>
      <c r="C32" s="27"/>
      <c r="D32" s="61" t="s">
        <v>313</v>
      </c>
      <c r="E32" s="140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1400"/>
      <c r="G32" s="1400"/>
      <c r="H32" s="1400"/>
      <c r="I32" s="111"/>
      <c r="M32" s="10">
        <v>26</v>
      </c>
    </row>
    <row r="33" spans="1:13" ht="14.65" customHeight="1">
      <c r="A33" s="59"/>
      <c r="C33" s="27"/>
      <c r="D33" s="61" t="s">
        <v>1137</v>
      </c>
      <c r="E33" s="109" t="s">
        <v>1126</v>
      </c>
      <c r="F33" s="38"/>
      <c r="G33" s="148"/>
      <c r="H33" s="38" t="s">
        <v>306</v>
      </c>
      <c r="I33" s="1190" t="s">
        <v>1138</v>
      </c>
      <c r="M33" s="10">
        <v>14</v>
      </c>
    </row>
    <row r="34" spans="1:13" ht="15.75" customHeight="1">
      <c r="A34" s="59" t="s">
        <v>88</v>
      </c>
      <c r="C34" s="27"/>
      <c r="D34" s="39"/>
      <c r="E34" s="108" t="s">
        <v>322</v>
      </c>
      <c r="F34" s="104"/>
      <c r="G34" s="104"/>
      <c r="H34" s="105"/>
      <c r="I34" s="1192"/>
      <c r="M34" s="10">
        <v>15</v>
      </c>
    </row>
    <row r="35" spans="1:13" ht="25.15" customHeight="1">
      <c r="A35" s="59"/>
      <c r="C35" s="27"/>
      <c r="D35" s="61" t="s">
        <v>880</v>
      </c>
      <c r="E35" s="140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1400"/>
      <c r="G35" s="1400"/>
      <c r="H35" s="1400"/>
      <c r="I35" s="111"/>
      <c r="M35" s="10">
        <v>24</v>
      </c>
    </row>
    <row r="36" spans="1:13" ht="14.65" customHeight="1">
      <c r="A36" s="59"/>
      <c r="C36" s="27"/>
      <c r="D36" s="61" t="s">
        <v>1139</v>
      </c>
      <c r="E36" s="109" t="s">
        <v>1127</v>
      </c>
      <c r="F36" s="38"/>
      <c r="G36" s="148"/>
      <c r="H36" s="38" t="s">
        <v>306</v>
      </c>
      <c r="I36" s="1168" t="s">
        <v>1140</v>
      </c>
      <c r="M36" s="10">
        <v>14</v>
      </c>
    </row>
    <row r="37" spans="1:13" ht="15.75" customHeight="1">
      <c r="A37" s="59" t="s">
        <v>89</v>
      </c>
      <c r="C37" s="27"/>
      <c r="D37" s="39"/>
      <c r="E37" s="108" t="s">
        <v>322</v>
      </c>
      <c r="F37" s="104"/>
      <c r="G37" s="104"/>
      <c r="H37" s="105"/>
      <c r="I37" s="1168"/>
      <c r="M37" s="10">
        <v>15</v>
      </c>
    </row>
    <row r="38" spans="1:13" ht="27.4" customHeight="1">
      <c r="A38" s="59"/>
      <c r="C38" s="27"/>
      <c r="D38" s="61" t="s">
        <v>881</v>
      </c>
      <c r="E38" s="140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1400"/>
      <c r="G38" s="1400"/>
      <c r="H38" s="1400"/>
      <c r="I38" s="111"/>
      <c r="M38" s="10">
        <v>26</v>
      </c>
    </row>
    <row r="39" spans="1:13" ht="14.65" customHeight="1">
      <c r="A39" s="59"/>
      <c r="C39" s="27"/>
      <c r="D39" s="61" t="s">
        <v>882</v>
      </c>
      <c r="E39" s="109" t="s">
        <v>1128</v>
      </c>
      <c r="F39" s="38"/>
      <c r="G39" s="110"/>
      <c r="H39" s="38" t="s">
        <v>306</v>
      </c>
      <c r="I39" s="1190" t="s">
        <v>1141</v>
      </c>
      <c r="L39" s="66" t="s">
        <v>1129</v>
      </c>
      <c r="M39" s="10">
        <v>14</v>
      </c>
    </row>
    <row r="40" spans="1:13" ht="15.75" customHeight="1">
      <c r="A40" s="59" t="s">
        <v>109</v>
      </c>
      <c r="C40" s="27"/>
      <c r="D40" s="39"/>
      <c r="E40" s="108" t="s">
        <v>322</v>
      </c>
      <c r="F40" s="104"/>
      <c r="G40" s="104"/>
      <c r="H40" s="105"/>
      <c r="I40" s="1192"/>
      <c r="M40" s="10">
        <v>15</v>
      </c>
    </row>
    <row r="41" spans="1:13" s="33" customFormat="1" ht="3" customHeight="1">
      <c r="A41" s="59"/>
      <c r="K41" s="101"/>
      <c r="L41" s="101"/>
      <c r="M41" s="33">
        <v>3</v>
      </c>
    </row>
    <row r="42" spans="1:13" ht="26.25" customHeight="1">
      <c r="D42" s="195" t="s">
        <v>802</v>
      </c>
      <c r="E42" s="128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1282"/>
      <c r="G42" s="1282"/>
      <c r="H42" s="1282"/>
      <c r="I42" s="1282"/>
      <c r="M42" s="10">
        <v>25</v>
      </c>
    </row>
    <row r="43" spans="1:13" ht="22.5" hidden="1" customHeight="1">
      <c r="A43" s="503" t="s">
        <v>80</v>
      </c>
      <c r="B43" s="60">
        <v>0</v>
      </c>
      <c r="C43" s="28">
        <v>3</v>
      </c>
      <c r="D43" s="10">
        <v>6</v>
      </c>
      <c r="E43" s="10">
        <v>63</v>
      </c>
      <c r="F43" s="10">
        <v>0</v>
      </c>
      <c r="G43" s="10">
        <v>35</v>
      </c>
      <c r="H43" s="10">
        <v>35</v>
      </c>
      <c r="I43" s="10">
        <v>91</v>
      </c>
      <c r="J43" s="10">
        <v>68</v>
      </c>
      <c r="K43" s="66">
        <v>10</v>
      </c>
      <c r="L43" s="66">
        <v>10</v>
      </c>
      <c r="M43" s="10">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H347"/>
  <sheetViews>
    <sheetView showGridLines="0" zoomScale="90" workbookViewId="0">
      <pane xSplit="7" ySplit="21" topLeftCell="H22" activePane="bottomRight" state="frozen"/>
      <selection pane="topRight" activeCell="H1" sqref="H1"/>
      <selection pane="bottomLeft" activeCell="A22" sqref="A22"/>
      <selection pane="bottomRight" activeCell="K350" sqref="K350"/>
    </sheetView>
  </sheetViews>
  <sheetFormatPr defaultColWidth="10.5703125" defaultRowHeight="14.25" customHeight="1"/>
  <cols>
    <col min="1" max="2" width="25.140625" style="916" hidden="1" customWidth="1"/>
    <col min="3" max="3" width="9.140625" style="3" hidden="1" customWidth="1"/>
    <col min="4" max="4" width="3" style="28" customWidth="1"/>
    <col min="5" max="5" width="6" style="10" customWidth="1"/>
    <col min="6" max="6" width="46.7109375" style="10" customWidth="1"/>
    <col min="7" max="7" width="35" style="10" customWidth="1"/>
    <col min="8" max="8" width="3" style="10" customWidth="1"/>
    <col min="9" max="10" width="11" style="10" customWidth="1"/>
    <col min="11" max="12" width="35" style="10" customWidth="1"/>
    <col min="13" max="13" width="84" style="10" customWidth="1"/>
    <col min="14" max="14" width="10" style="10" customWidth="1"/>
    <col min="15" max="16" width="10" style="66" customWidth="1"/>
    <col min="17" max="33" width="10" style="10" customWidth="1"/>
    <col min="34" max="34" width="10.5703125" style="10" hidden="1"/>
  </cols>
  <sheetData>
    <row r="1" spans="1:34" s="10" customFormat="1" ht="22.5" hidden="1" customHeight="1">
      <c r="A1" s="916"/>
      <c r="B1" s="916"/>
      <c r="C1" s="3"/>
      <c r="D1" s="28"/>
      <c r="N1" s="65">
        <f>IFERROR(MATCH("метод экономически обоснованных расходов (затрат)",OFFER_METHOD,0),0)</f>
        <v>0</v>
      </c>
      <c r="O1" s="66"/>
      <c r="P1" s="66"/>
      <c r="T1" s="77"/>
      <c r="AG1" s="147"/>
      <c r="AH1" s="10" t="s">
        <v>14</v>
      </c>
    </row>
    <row r="2" spans="1:34" s="10" customFormat="1" ht="18.75" hidden="1" customHeight="1">
      <c r="A2" s="33" t="s">
        <v>153</v>
      </c>
      <c r="B2" s="33" t="s">
        <v>154</v>
      </c>
      <c r="C2" s="3"/>
      <c r="D2" s="28"/>
      <c r="E2" s="604"/>
      <c r="F2" s="604"/>
      <c r="G2" s="1413" t="str">
        <f>INDEX(PT_DIFFERENTIATION_NTAR,MATCH(B2,PT_DIFFERENTIATION_NTAR_ID,0))</f>
        <v/>
      </c>
      <c r="H2" s="760"/>
      <c r="I2" s="947"/>
      <c r="J2" s="973"/>
      <c r="K2" s="1007"/>
      <c r="L2" s="760" t="s">
        <v>306</v>
      </c>
      <c r="M2" s="1013"/>
      <c r="N2" s="193"/>
      <c r="O2" s="66"/>
      <c r="P2" s="66"/>
      <c r="AH2" s="10">
        <v>0</v>
      </c>
    </row>
    <row r="3" spans="1:34" s="10" customFormat="1" ht="18.75" hidden="1" customHeight="1">
      <c r="A3" s="33"/>
      <c r="B3" s="33"/>
      <c r="C3" s="3" t="s">
        <v>1142</v>
      </c>
      <c r="D3" s="28"/>
      <c r="E3" s="604"/>
      <c r="F3" s="604"/>
      <c r="G3" s="1413"/>
      <c r="H3" s="821"/>
      <c r="I3" s="51" t="s">
        <v>1143</v>
      </c>
      <c r="J3" s="108"/>
      <c r="K3" s="821"/>
      <c r="L3" s="105"/>
      <c r="M3" s="1013"/>
      <c r="N3" s="193"/>
      <c r="O3" s="66"/>
      <c r="P3" s="66"/>
      <c r="AH3" s="10">
        <v>0</v>
      </c>
    </row>
    <row r="4" spans="1:34" s="10" customFormat="1" ht="14.25" hidden="1" customHeight="1">
      <c r="A4" s="916"/>
      <c r="B4" s="916"/>
      <c r="C4" s="3"/>
      <c r="D4" s="28"/>
      <c r="N4" s="65">
        <f>IFERROR(MATCH("метод экономически обоснованных расходов (затрат)",OFFER_METHOD,0),0)</f>
        <v>0</v>
      </c>
      <c r="O4" s="66"/>
      <c r="P4" s="66"/>
      <c r="T4" s="77"/>
      <c r="AG4" s="147"/>
      <c r="AH4" s="10">
        <v>0</v>
      </c>
    </row>
    <row r="5" spans="1:34" s="10" customFormat="1" ht="18.75" hidden="1" customHeight="1">
      <c r="A5" s="33" t="s">
        <v>153</v>
      </c>
      <c r="B5" s="33" t="s">
        <v>154</v>
      </c>
      <c r="C5" s="3"/>
      <c r="D5" s="28"/>
      <c r="E5" s="604"/>
      <c r="F5" s="604"/>
      <c r="G5" s="1413" t="str">
        <f>INDEX(PT_DIFFERENTIATION_NTAR,MATCH(B5,PT_DIFFERENTIATION_NTAR_ID,0))</f>
        <v/>
      </c>
      <c r="H5" s="760"/>
      <c r="I5" s="947"/>
      <c r="J5" s="973"/>
      <c r="K5" s="363"/>
      <c r="L5" s="760" t="s">
        <v>306</v>
      </c>
      <c r="M5" s="1013"/>
      <c r="N5" s="193"/>
      <c r="O5" s="66"/>
      <c r="P5" s="66"/>
      <c r="AH5" s="10">
        <v>0</v>
      </c>
    </row>
    <row r="6" spans="1:34" s="10" customFormat="1" ht="18.75" hidden="1" customHeight="1">
      <c r="A6" s="33"/>
      <c r="B6" s="33"/>
      <c r="C6" s="3" t="s">
        <v>1144</v>
      </c>
      <c r="D6" s="28"/>
      <c r="E6" s="604"/>
      <c r="F6" s="604"/>
      <c r="G6" s="1413"/>
      <c r="H6" s="821"/>
      <c r="I6" s="51" t="s">
        <v>1143</v>
      </c>
      <c r="J6" s="108"/>
      <c r="K6" s="821"/>
      <c r="L6" s="105"/>
      <c r="M6" s="1013"/>
      <c r="N6" s="193"/>
      <c r="O6" s="66"/>
      <c r="P6" s="66"/>
      <c r="AH6" s="10">
        <v>0</v>
      </c>
    </row>
    <row r="7" spans="1:34" s="10" customFormat="1" ht="14.25" hidden="1" customHeight="1">
      <c r="A7" s="916"/>
      <c r="B7" s="916"/>
      <c r="C7" s="3"/>
      <c r="D7" s="28"/>
      <c r="N7" s="65">
        <f>IFERROR(MATCH("метод экономически обоснованных расходов (затрат)",OFFER_METHOD,0),0)</f>
        <v>0</v>
      </c>
      <c r="O7" s="66"/>
      <c r="P7" s="66"/>
      <c r="T7" s="77"/>
      <c r="AG7" s="147"/>
      <c r="AH7" s="10">
        <v>0</v>
      </c>
    </row>
    <row r="8" spans="1:34" s="10" customFormat="1" ht="56.25" hidden="1" customHeight="1">
      <c r="A8" s="33"/>
      <c r="B8" s="33"/>
      <c r="C8" s="3"/>
      <c r="D8" s="28"/>
      <c r="E8" s="604"/>
      <c r="F8" s="604"/>
      <c r="G8" s="604"/>
      <c r="H8" s="760"/>
      <c r="I8" s="947"/>
      <c r="J8" s="973"/>
      <c r="K8" s="1007"/>
      <c r="L8" s="760" t="s">
        <v>306</v>
      </c>
      <c r="M8" s="1013"/>
      <c r="N8" s="193"/>
      <c r="O8" s="66"/>
      <c r="P8" s="66"/>
      <c r="AH8" s="10">
        <v>0</v>
      </c>
    </row>
    <row r="9" spans="1:34" ht="14.25" hidden="1" customHeight="1">
      <c r="T9" s="77"/>
      <c r="AG9" s="147"/>
      <c r="AH9" s="10">
        <v>0</v>
      </c>
    </row>
    <row r="10" spans="1:34" s="10" customFormat="1" ht="56.25" hidden="1" customHeight="1">
      <c r="A10" s="33"/>
      <c r="B10" s="33"/>
      <c r="C10" s="3"/>
      <c r="D10" s="28"/>
      <c r="E10" s="604"/>
      <c r="F10" s="604"/>
      <c r="G10" s="604"/>
      <c r="H10" s="38"/>
      <c r="I10" s="947"/>
      <c r="J10" s="973"/>
      <c r="K10" s="363"/>
      <c r="L10" s="760" t="s">
        <v>306</v>
      </c>
      <c r="M10" s="1013"/>
      <c r="N10" s="193"/>
      <c r="O10" s="66"/>
      <c r="P10" s="66"/>
      <c r="AH10" s="10">
        <v>0</v>
      </c>
    </row>
    <row r="11" spans="1:34" ht="14.25" hidden="1" customHeight="1">
      <c r="AH11" s="10">
        <v>0</v>
      </c>
    </row>
    <row r="12" spans="1:34" ht="14.25" hidden="1" customHeight="1">
      <c r="AH12" s="10">
        <v>0</v>
      </c>
    </row>
    <row r="13" spans="1:34" ht="6.4" customHeight="1">
      <c r="D13" s="27"/>
      <c r="E13" s="9"/>
      <c r="F13" s="9"/>
      <c r="G13" s="9"/>
      <c r="H13" s="9"/>
      <c r="I13" s="9"/>
      <c r="J13" s="9"/>
      <c r="K13" s="9"/>
      <c r="L13" s="19"/>
      <c r="M13" s="19"/>
      <c r="AH13" s="10">
        <v>6</v>
      </c>
    </row>
    <row r="14" spans="1:34" ht="14.65" customHeight="1">
      <c r="D14" s="27"/>
      <c r="E14" s="14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439"/>
      <c r="G14" s="1439"/>
      <c r="H14" s="1439"/>
      <c r="I14" s="1439"/>
      <c r="J14" s="1439"/>
      <c r="K14" s="1439"/>
      <c r="L14" s="1439"/>
      <c r="M14" s="57"/>
      <c r="AH14" s="10">
        <v>14</v>
      </c>
    </row>
    <row r="15" spans="1:34" ht="6.4" customHeight="1">
      <c r="D15" s="27"/>
      <c r="E15" s="9"/>
      <c r="F15" s="13"/>
      <c r="G15" s="13"/>
      <c r="H15" s="13"/>
      <c r="I15" s="13"/>
      <c r="J15" s="13"/>
      <c r="K15" s="13"/>
      <c r="L15" s="186"/>
      <c r="M15" s="98"/>
      <c r="AH15" s="10">
        <v>6</v>
      </c>
    </row>
    <row r="16" spans="1:34" ht="24" customHeight="1">
      <c r="D16" s="27"/>
      <c r="E16" s="9"/>
      <c r="F16" s="173" t="str">
        <f>"Дата подачи заявления об "&amp;IF(TITLE_DATE_PR_CHANGE="","утверждении","изменении")&amp;" тарифов"</f>
        <v>Дата подачи заявления об утверждении тарифов</v>
      </c>
      <c r="G16" s="1275">
        <f>IF(TITLE_DATE_PR_CHANGE="",IF(TITLE_DATE_PR="","",TITLE_DATE_PR),TITLE_DATE_PR_CHANGE)</f>
        <v>45805</v>
      </c>
      <c r="H16" s="1275"/>
      <c r="I16" s="1275"/>
      <c r="J16" s="1275"/>
      <c r="K16" s="1275"/>
      <c r="L16" s="1275"/>
      <c r="M16" s="193"/>
      <c r="AH16" s="10">
        <v>23</v>
      </c>
    </row>
    <row r="17" spans="1:34" ht="24" customHeight="1">
      <c r="D17" s="27"/>
      <c r="E17" s="9"/>
      <c r="F17" s="173" t="str">
        <f>"Номер подачи заявления об "&amp;IF(TITLE_DATE_PR_CHANGE="","утверждении","изменении")&amp;" тарифов"</f>
        <v>Номер подачи заявления об утверждении тарифов</v>
      </c>
      <c r="G17" s="1276" t="str">
        <f>IF(TITLE_NUMBER_PR_CHANGE="",IF(TITLE_NUMBER_PR="","",TITLE_NUMBER_PR),TITLE_NUMBER_PR_CHANGE)</f>
        <v>2496</v>
      </c>
      <c r="H17" s="1276"/>
      <c r="I17" s="1276"/>
      <c r="J17" s="1276"/>
      <c r="K17" s="1276"/>
      <c r="L17" s="1276"/>
      <c r="M17" s="193"/>
      <c r="AH17" s="10">
        <v>23</v>
      </c>
    </row>
    <row r="18" spans="1:34" ht="14.65" customHeight="1">
      <c r="D18" s="27"/>
      <c r="E18" s="9"/>
      <c r="F18" s="13"/>
      <c r="G18" s="13"/>
      <c r="H18" s="13"/>
      <c r="I18" s="13"/>
      <c r="J18" s="13"/>
      <c r="K18" s="13"/>
      <c r="L18" s="432"/>
      <c r="M18" s="98"/>
      <c r="AH18" s="10">
        <v>14</v>
      </c>
    </row>
    <row r="19" spans="1:34" ht="21.95" customHeight="1">
      <c r="D19" s="27"/>
      <c r="E19" s="1244" t="s">
        <v>300</v>
      </c>
      <c r="F19" s="1244"/>
      <c r="G19" s="1244"/>
      <c r="H19" s="1244"/>
      <c r="I19" s="1244"/>
      <c r="J19" s="1244"/>
      <c r="K19" s="1244"/>
      <c r="L19" s="1244"/>
      <c r="M19" s="1387" t="s">
        <v>301</v>
      </c>
      <c r="AH19" s="10">
        <v>21</v>
      </c>
    </row>
    <row r="20" spans="1:34" ht="21.95" customHeight="1">
      <c r="D20" s="27"/>
      <c r="E20" s="1300" t="s">
        <v>86</v>
      </c>
      <c r="F20" s="1250" t="s">
        <v>120</v>
      </c>
      <c r="G20" s="1250" t="s">
        <v>121</v>
      </c>
      <c r="H20" s="1384" t="s">
        <v>1145</v>
      </c>
      <c r="I20" s="1385"/>
      <c r="J20" s="1415"/>
      <c r="K20" s="1250" t="s">
        <v>303</v>
      </c>
      <c r="L20" s="1250" t="s">
        <v>390</v>
      </c>
      <c r="M20" s="1387"/>
      <c r="AH20" s="10">
        <v>21</v>
      </c>
    </row>
    <row r="21" spans="1:34" ht="21.95" customHeight="1">
      <c r="D21" s="27"/>
      <c r="E21" s="1302"/>
      <c r="F21" s="1251"/>
      <c r="G21" s="1251"/>
      <c r="H21" s="1249" t="s">
        <v>1146</v>
      </c>
      <c r="I21" s="1263"/>
      <c r="J21" s="38" t="s">
        <v>1147</v>
      </c>
      <c r="K21" s="1251"/>
      <c r="L21" s="1251"/>
      <c r="M21" s="1387"/>
      <c r="AH21" s="10">
        <v>21</v>
      </c>
    </row>
    <row r="22" spans="1:34" ht="12.75" customHeight="1">
      <c r="D22" s="27"/>
      <c r="E22" s="21"/>
      <c r="F22" s="21"/>
      <c r="G22" s="21"/>
      <c r="H22" s="1441"/>
      <c r="I22" s="1441"/>
      <c r="J22" s="21"/>
      <c r="K22" s="21"/>
      <c r="L22" s="21"/>
      <c r="M22" s="21"/>
      <c r="AH22" s="10">
        <v>12</v>
      </c>
    </row>
    <row r="23" spans="1:34" ht="19.899999999999999" customHeight="1">
      <c r="A23" s="33"/>
      <c r="B23" s="33"/>
      <c r="D23" s="27"/>
      <c r="E23" s="1008" t="s">
        <v>107</v>
      </c>
      <c r="F23" s="1442" t="str">
        <f>"Предлагаемый метод регулирования"&amp;IF(TEMPLATE_SPHERE="HEAT"," в сфере "&amp;TEMPLATE_SPHERE_RUS,"")</f>
        <v>Предлагаемый метод регулирования</v>
      </c>
      <c r="G23" s="1442"/>
      <c r="H23" s="1437"/>
      <c r="I23" s="1437"/>
      <c r="J23" s="1437"/>
      <c r="K23" s="1442" t="s">
        <v>306</v>
      </c>
      <c r="L23" s="1437"/>
      <c r="M23" s="150"/>
      <c r="N23" s="193"/>
      <c r="AH23" s="10">
        <v>19</v>
      </c>
    </row>
    <row r="24" spans="1:34" ht="60.75" hidden="1" customHeight="1">
      <c r="A24" s="33" t="s">
        <v>153</v>
      </c>
      <c r="B24" s="33" t="s">
        <v>154</v>
      </c>
      <c r="D24" s="1440"/>
      <c r="E24" s="1239"/>
      <c r="F24" s="14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3" t="str">
        <f>INDEX(PT_DIFFERENTIATION_NTAR,MATCH(B24,PT_DIFFERENTIATION_NTAR_ID,0))</f>
        <v/>
      </c>
      <c r="H24" s="760"/>
      <c r="I24" s="947"/>
      <c r="J24" s="973"/>
      <c r="K24" s="1007"/>
      <c r="L24" s="760" t="s">
        <v>306</v>
      </c>
      <c r="M24" s="11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3"/>
      <c r="AH24" s="10">
        <v>0</v>
      </c>
    </row>
    <row r="25" spans="1:34" s="10" customFormat="1" ht="18.75" hidden="1" customHeight="1">
      <c r="A25" s="33"/>
      <c r="B25" s="33"/>
      <c r="C25" s="3" t="s">
        <v>1142</v>
      </c>
      <c r="D25" s="1440"/>
      <c r="E25" s="1239"/>
      <c r="F25" s="1443"/>
      <c r="G25" s="1413"/>
      <c r="H25" s="821"/>
      <c r="I25" s="51" t="s">
        <v>1143</v>
      </c>
      <c r="J25" s="108"/>
      <c r="K25" s="821"/>
      <c r="L25" s="105"/>
      <c r="M25" s="1191"/>
      <c r="N25" s="193"/>
      <c r="O25" s="66"/>
      <c r="P25" s="66"/>
      <c r="AH25" s="10">
        <v>0</v>
      </c>
    </row>
    <row r="26" spans="1:34" ht="0.75" hidden="1" customHeight="1">
      <c r="A26" s="33"/>
      <c r="B26" s="33"/>
      <c r="C26" s="3" t="s">
        <v>1148</v>
      </c>
      <c r="D26" s="1440"/>
      <c r="E26" s="1239"/>
      <c r="F26" s="1377"/>
      <c r="G26" s="224"/>
      <c r="H26" s="821"/>
      <c r="I26" s="51"/>
      <c r="J26" s="108"/>
      <c r="K26" s="821"/>
      <c r="L26" s="105"/>
      <c r="M26" s="1191"/>
      <c r="N26" s="193"/>
      <c r="AH26" s="10">
        <v>0</v>
      </c>
    </row>
    <row r="27" spans="1:34" s="10" customFormat="1" ht="45" hidden="1" customHeight="1">
      <c r="A27" s="33" t="s">
        <v>158</v>
      </c>
      <c r="B27" s="33" t="s">
        <v>159</v>
      </c>
      <c r="C27" s="3"/>
      <c r="D27" s="1438"/>
      <c r="E27" s="1444"/>
      <c r="F27" s="1445" t="str">
        <f>INDEX(PT_DIFFERENTIATION_VTAR,MATCH(A27,PT_DIFFERENTIATION_VTAR_ID,0))</f>
        <v/>
      </c>
      <c r="G27" s="1413" t="str">
        <f>INDEX(PT_DIFFERENTIATION_NTAR,MATCH(B27,PT_DIFFERENTIATION_NTAR_ID,0))</f>
        <v/>
      </c>
      <c r="H27" s="760"/>
      <c r="I27" s="947"/>
      <c r="J27" s="973"/>
      <c r="K27" s="1007"/>
      <c r="L27" s="760" t="s">
        <v>306</v>
      </c>
      <c r="M27" s="1191"/>
      <c r="N27" s="193"/>
      <c r="O27" s="66"/>
      <c r="P27" s="66"/>
      <c r="AH27" s="10">
        <v>0</v>
      </c>
    </row>
    <row r="28" spans="1:34" s="10" customFormat="1" ht="18.75" hidden="1" customHeight="1">
      <c r="A28" s="33"/>
      <c r="B28" s="33"/>
      <c r="C28" s="3" t="s">
        <v>1142</v>
      </c>
      <c r="D28" s="1438"/>
      <c r="E28" s="1444"/>
      <c r="F28" s="1445"/>
      <c r="G28" s="1413"/>
      <c r="H28" s="821"/>
      <c r="I28" s="51" t="s">
        <v>1143</v>
      </c>
      <c r="J28" s="108"/>
      <c r="K28" s="821"/>
      <c r="L28" s="105"/>
      <c r="M28" s="1191"/>
      <c r="N28" s="193"/>
      <c r="O28" s="66"/>
      <c r="P28" s="66"/>
      <c r="AH28" s="10">
        <v>0</v>
      </c>
    </row>
    <row r="29" spans="1:34" s="10" customFormat="1" ht="0.75" hidden="1" customHeight="1">
      <c r="A29" s="33"/>
      <c r="B29" s="33"/>
      <c r="C29" s="3" t="s">
        <v>1148</v>
      </c>
      <c r="D29" s="1438"/>
      <c r="E29" s="1239"/>
      <c r="F29" s="1377"/>
      <c r="G29" s="224"/>
      <c r="H29" s="821"/>
      <c r="I29" s="51"/>
      <c r="J29" s="108"/>
      <c r="K29" s="821"/>
      <c r="L29" s="105"/>
      <c r="M29" s="1191"/>
      <c r="N29" s="193"/>
      <c r="O29" s="66"/>
      <c r="P29" s="66"/>
      <c r="AH29" s="10">
        <v>0</v>
      </c>
    </row>
    <row r="30" spans="1:34" s="10" customFormat="1" ht="45" hidden="1" customHeight="1">
      <c r="A30" s="33" t="s">
        <v>165</v>
      </c>
      <c r="B30" s="33" t="s">
        <v>166</v>
      </c>
      <c r="C30" s="3"/>
      <c r="D30" s="1438"/>
      <c r="E30" s="1239"/>
      <c r="F30" s="137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3" t="str">
        <f>INDEX(PT_DIFFERENTIATION_NTAR,MATCH(B30,PT_DIFFERENTIATION_NTAR_ID,0))</f>
        <v/>
      </c>
      <c r="H30" s="760"/>
      <c r="I30" s="947"/>
      <c r="J30" s="973"/>
      <c r="K30" s="1007"/>
      <c r="L30" s="760" t="s">
        <v>306</v>
      </c>
      <c r="M30" s="1191"/>
      <c r="N30" s="193"/>
      <c r="O30" s="66"/>
      <c r="P30" s="66"/>
      <c r="AH30" s="10">
        <v>0</v>
      </c>
    </row>
    <row r="31" spans="1:34" s="10" customFormat="1" ht="18.75" hidden="1" customHeight="1">
      <c r="A31" s="33"/>
      <c r="B31" s="33"/>
      <c r="C31" s="3" t="s">
        <v>1142</v>
      </c>
      <c r="D31" s="1438"/>
      <c r="E31" s="1239"/>
      <c r="F31" s="1377"/>
      <c r="G31" s="1413"/>
      <c r="H31" s="821"/>
      <c r="I31" s="51" t="s">
        <v>1143</v>
      </c>
      <c r="J31" s="108"/>
      <c r="K31" s="821"/>
      <c r="L31" s="105"/>
      <c r="M31" s="1191"/>
      <c r="N31" s="193"/>
      <c r="O31" s="66"/>
      <c r="P31" s="66"/>
      <c r="AH31" s="10">
        <v>0</v>
      </c>
    </row>
    <row r="32" spans="1:34" s="10" customFormat="1" ht="0.75" hidden="1" customHeight="1">
      <c r="A32" s="33"/>
      <c r="B32" s="33"/>
      <c r="C32" s="3" t="s">
        <v>1148</v>
      </c>
      <c r="D32" s="1438"/>
      <c r="E32" s="1239"/>
      <c r="F32" s="1377"/>
      <c r="G32" s="224"/>
      <c r="H32" s="821"/>
      <c r="I32" s="51"/>
      <c r="J32" s="108"/>
      <c r="K32" s="821"/>
      <c r="L32" s="105"/>
      <c r="M32" s="1191"/>
      <c r="N32" s="193"/>
      <c r="O32" s="66"/>
      <c r="P32" s="66"/>
      <c r="AH32" s="10">
        <v>0</v>
      </c>
    </row>
    <row r="33" spans="1:34" s="10" customFormat="1" ht="45" hidden="1" customHeight="1">
      <c r="A33" s="33" t="s">
        <v>171</v>
      </c>
      <c r="B33" s="33" t="s">
        <v>172</v>
      </c>
      <c r="C33" s="3"/>
      <c r="D33" s="1438"/>
      <c r="E33" s="1239"/>
      <c r="F33" s="137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3" t="str">
        <f>INDEX(PT_DIFFERENTIATION_NTAR,MATCH(B33,PT_DIFFERENTIATION_NTAR_ID,0))</f>
        <v/>
      </c>
      <c r="H33" s="760"/>
      <c r="I33" s="947"/>
      <c r="J33" s="973"/>
      <c r="K33" s="1007"/>
      <c r="L33" s="760" t="s">
        <v>306</v>
      </c>
      <c r="M33" s="1191"/>
      <c r="N33" s="193"/>
      <c r="O33" s="66"/>
      <c r="P33" s="66"/>
      <c r="AH33" s="10">
        <v>0</v>
      </c>
    </row>
    <row r="34" spans="1:34" s="10" customFormat="1" ht="18.75" hidden="1" customHeight="1">
      <c r="A34" s="33"/>
      <c r="B34" s="33"/>
      <c r="C34" s="3" t="s">
        <v>1142</v>
      </c>
      <c r="D34" s="1438"/>
      <c r="E34" s="1239"/>
      <c r="F34" s="1377"/>
      <c r="G34" s="1413"/>
      <c r="H34" s="821"/>
      <c r="I34" s="51" t="s">
        <v>1143</v>
      </c>
      <c r="J34" s="108"/>
      <c r="K34" s="821"/>
      <c r="L34" s="105"/>
      <c r="M34" s="1191"/>
      <c r="N34" s="193"/>
      <c r="O34" s="66"/>
      <c r="P34" s="66"/>
      <c r="AH34" s="10">
        <v>0</v>
      </c>
    </row>
    <row r="35" spans="1:34" s="10" customFormat="1" ht="0.75" hidden="1" customHeight="1">
      <c r="A35" s="33"/>
      <c r="B35" s="33"/>
      <c r="C35" s="3" t="s">
        <v>1148</v>
      </c>
      <c r="D35" s="1438"/>
      <c r="E35" s="1239"/>
      <c r="F35" s="1377"/>
      <c r="G35" s="224"/>
      <c r="H35" s="821"/>
      <c r="I35" s="51"/>
      <c r="J35" s="108"/>
      <c r="K35" s="821"/>
      <c r="L35" s="105"/>
      <c r="M35" s="1191"/>
      <c r="N35" s="193"/>
      <c r="O35" s="66"/>
      <c r="P35" s="66"/>
      <c r="AH35" s="10">
        <v>0</v>
      </c>
    </row>
    <row r="36" spans="1:34" s="10" customFormat="1" ht="18.75" hidden="1" customHeight="1">
      <c r="A36" s="33" t="s">
        <v>177</v>
      </c>
      <c r="B36" s="33" t="s">
        <v>178</v>
      </c>
      <c r="C36" s="3"/>
      <c r="D36" s="1438"/>
      <c r="E36" s="1239"/>
      <c r="F36" s="1377" t="str">
        <f>INDEX(PT_DIFFERENTIATION_VTAR,MATCH(A36,PT_DIFFERENTIATION_VTAR_ID,0))</f>
        <v>Тарифы на услуги по передаче тепловой энергии</v>
      </c>
      <c r="G36" s="1413" t="str">
        <f>INDEX(PT_DIFFERENTIATION_NTAR,MATCH(B36,PT_DIFFERENTIATION_NTAR_ID,0))</f>
        <v/>
      </c>
      <c r="H36" s="760"/>
      <c r="I36" s="947"/>
      <c r="J36" s="973"/>
      <c r="K36" s="1007"/>
      <c r="L36" s="760" t="s">
        <v>306</v>
      </c>
      <c r="M36" s="1191"/>
      <c r="N36" s="193"/>
      <c r="O36" s="66"/>
      <c r="P36" s="66"/>
      <c r="AH36" s="10">
        <v>0</v>
      </c>
    </row>
    <row r="37" spans="1:34" s="10" customFormat="1" ht="18.75" hidden="1" customHeight="1">
      <c r="A37" s="33"/>
      <c r="B37" s="33"/>
      <c r="C37" s="3" t="s">
        <v>1142</v>
      </c>
      <c r="D37" s="1438"/>
      <c r="E37" s="1239"/>
      <c r="F37" s="1377"/>
      <c r="G37" s="1413"/>
      <c r="H37" s="821"/>
      <c r="I37" s="51" t="s">
        <v>1143</v>
      </c>
      <c r="J37" s="108"/>
      <c r="K37" s="821"/>
      <c r="L37" s="105"/>
      <c r="M37" s="1191"/>
      <c r="N37" s="193"/>
      <c r="O37" s="66"/>
      <c r="P37" s="66"/>
      <c r="AH37" s="10">
        <v>0</v>
      </c>
    </row>
    <row r="38" spans="1:34" s="10" customFormat="1" ht="0.75" hidden="1" customHeight="1">
      <c r="A38" s="33"/>
      <c r="B38" s="33"/>
      <c r="C38" s="3" t="s">
        <v>1148</v>
      </c>
      <c r="D38" s="1438"/>
      <c r="E38" s="1239"/>
      <c r="F38" s="1377"/>
      <c r="G38" s="224"/>
      <c r="H38" s="821"/>
      <c r="I38" s="51"/>
      <c r="J38" s="108"/>
      <c r="K38" s="821"/>
      <c r="L38" s="105"/>
      <c r="M38" s="1191"/>
      <c r="N38" s="193"/>
      <c r="O38" s="66"/>
      <c r="P38" s="66"/>
      <c r="AH38" s="10">
        <v>0</v>
      </c>
    </row>
    <row r="39" spans="1:34" s="10" customFormat="1" ht="18.75" hidden="1" customHeight="1">
      <c r="A39" s="33" t="s">
        <v>183</v>
      </c>
      <c r="B39" s="33" t="s">
        <v>184</v>
      </c>
      <c r="C39" s="3"/>
      <c r="D39" s="1438"/>
      <c r="E39" s="1239"/>
      <c r="F39" s="1377" t="str">
        <f>INDEX(PT_DIFFERENTIATION_VTAR,MATCH(A39,PT_DIFFERENTIATION_VTAR_ID,0))</f>
        <v>Тарифы на услуги по передаче теплоносителя</v>
      </c>
      <c r="G39" s="1413" t="str">
        <f>INDEX(PT_DIFFERENTIATION_NTAR,MATCH(B39,PT_DIFFERENTIATION_NTAR_ID,0))</f>
        <v/>
      </c>
      <c r="H39" s="760"/>
      <c r="I39" s="947"/>
      <c r="J39" s="973"/>
      <c r="K39" s="1007"/>
      <c r="L39" s="760" t="s">
        <v>306</v>
      </c>
      <c r="M39" s="1191"/>
      <c r="N39" s="193"/>
      <c r="O39" s="66"/>
      <c r="P39" s="66"/>
      <c r="AH39" s="10">
        <v>0</v>
      </c>
    </row>
    <row r="40" spans="1:34" s="10" customFormat="1" ht="18.75" hidden="1" customHeight="1">
      <c r="A40" s="33"/>
      <c r="B40" s="33"/>
      <c r="C40" s="3" t="s">
        <v>1142</v>
      </c>
      <c r="D40" s="1438"/>
      <c r="E40" s="1239"/>
      <c r="F40" s="1377"/>
      <c r="G40" s="1413"/>
      <c r="H40" s="821"/>
      <c r="I40" s="51" t="s">
        <v>1143</v>
      </c>
      <c r="J40" s="108"/>
      <c r="K40" s="821"/>
      <c r="L40" s="105"/>
      <c r="M40" s="1191"/>
      <c r="N40" s="193"/>
      <c r="O40" s="66"/>
      <c r="P40" s="66"/>
      <c r="AH40" s="10">
        <v>0</v>
      </c>
    </row>
    <row r="41" spans="1:34" s="10" customFormat="1" ht="0.75" hidden="1" customHeight="1">
      <c r="A41" s="33"/>
      <c r="B41" s="33"/>
      <c r="C41" s="3" t="s">
        <v>1148</v>
      </c>
      <c r="D41" s="1438"/>
      <c r="E41" s="1239"/>
      <c r="F41" s="1377"/>
      <c r="G41" s="224"/>
      <c r="H41" s="821"/>
      <c r="I41" s="51"/>
      <c r="J41" s="108"/>
      <c r="K41" s="821"/>
      <c r="L41" s="105"/>
      <c r="M41" s="1191"/>
      <c r="N41" s="193"/>
      <c r="O41" s="66"/>
      <c r="P41" s="66"/>
      <c r="AH41" s="10">
        <v>0</v>
      </c>
    </row>
    <row r="42" spans="1:34" s="10" customFormat="1" ht="18.75" hidden="1" customHeight="1">
      <c r="A42" s="33" t="s">
        <v>189</v>
      </c>
      <c r="B42" s="33" t="s">
        <v>190</v>
      </c>
      <c r="C42" s="3"/>
      <c r="D42" s="1438"/>
      <c r="E42" s="1239"/>
      <c r="F42" s="1377"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3" t="str">
        <f>INDEX(PT_DIFFERENTIATION_NTAR,MATCH(B42,PT_DIFFERENTIATION_NTAR_ID,0))</f>
        <v/>
      </c>
      <c r="H42" s="760"/>
      <c r="I42" s="947"/>
      <c r="J42" s="973"/>
      <c r="K42" s="1007"/>
      <c r="L42" s="760" t="s">
        <v>306</v>
      </c>
      <c r="M42" s="1191"/>
      <c r="N42" s="193"/>
      <c r="O42" s="66"/>
      <c r="P42" s="66"/>
      <c r="AH42" s="10">
        <v>0</v>
      </c>
    </row>
    <row r="43" spans="1:34" s="10" customFormat="1" ht="18.75" hidden="1" customHeight="1">
      <c r="A43" s="33"/>
      <c r="B43" s="33"/>
      <c r="C43" s="3" t="s">
        <v>1142</v>
      </c>
      <c r="D43" s="1438"/>
      <c r="E43" s="1239"/>
      <c r="F43" s="1377"/>
      <c r="G43" s="1413"/>
      <c r="H43" s="821"/>
      <c r="I43" s="51" t="s">
        <v>1143</v>
      </c>
      <c r="J43" s="108"/>
      <c r="K43" s="821"/>
      <c r="L43" s="105"/>
      <c r="M43" s="1191"/>
      <c r="N43" s="193"/>
      <c r="O43" s="66"/>
      <c r="P43" s="66"/>
      <c r="AH43" s="10">
        <v>0</v>
      </c>
    </row>
    <row r="44" spans="1:34" s="10" customFormat="1" ht="0.75" hidden="1" customHeight="1">
      <c r="A44" s="33"/>
      <c r="B44" s="33"/>
      <c r="C44" s="3" t="s">
        <v>1148</v>
      </c>
      <c r="D44" s="1438"/>
      <c r="E44" s="1239"/>
      <c r="F44" s="1377"/>
      <c r="G44" s="224"/>
      <c r="H44" s="821"/>
      <c r="I44" s="51"/>
      <c r="J44" s="108"/>
      <c r="K44" s="821"/>
      <c r="L44" s="105"/>
      <c r="M44" s="1191"/>
      <c r="N44" s="193"/>
      <c r="O44" s="66"/>
      <c r="P44" s="66"/>
      <c r="AH44" s="10">
        <v>0</v>
      </c>
    </row>
    <row r="45" spans="1:34" s="10" customFormat="1" ht="18.75" hidden="1" customHeight="1">
      <c r="A45" s="33" t="s">
        <v>195</v>
      </c>
      <c r="B45" s="33" t="s">
        <v>196</v>
      </c>
      <c r="C45" s="3"/>
      <c r="D45" s="1438"/>
      <c r="E45" s="1239"/>
      <c r="F45" s="1377" t="str">
        <f>INDEX(PT_DIFFERENTIATION_VTAR,MATCH(A45,PT_DIFFERENTIATION_VTAR_ID,0))</f>
        <v>Плата за подключение (технологическое присоединение) к системе теплоснабжения</v>
      </c>
      <c r="G45" s="1413" t="str">
        <f>INDEX(PT_DIFFERENTIATION_NTAR,MATCH(B45,PT_DIFFERENTIATION_NTAR_ID,0))</f>
        <v/>
      </c>
      <c r="H45" s="760"/>
      <c r="I45" s="947"/>
      <c r="J45" s="973"/>
      <c r="K45" s="1007"/>
      <c r="L45" s="760" t="s">
        <v>306</v>
      </c>
      <c r="M45" s="1191"/>
      <c r="N45" s="193"/>
      <c r="O45" s="66"/>
      <c r="P45" s="66"/>
      <c r="AH45" s="10">
        <v>0</v>
      </c>
    </row>
    <row r="46" spans="1:34" s="10" customFormat="1" ht="18.75" hidden="1" customHeight="1">
      <c r="A46" s="33"/>
      <c r="B46" s="33"/>
      <c r="C46" s="3" t="s">
        <v>1142</v>
      </c>
      <c r="D46" s="1438"/>
      <c r="E46" s="1239"/>
      <c r="F46" s="1377"/>
      <c r="G46" s="1413"/>
      <c r="H46" s="821"/>
      <c r="I46" s="51" t="s">
        <v>1143</v>
      </c>
      <c r="J46" s="108"/>
      <c r="K46" s="821"/>
      <c r="L46" s="105"/>
      <c r="M46" s="1191"/>
      <c r="N46" s="193"/>
      <c r="O46" s="66"/>
      <c r="P46" s="66"/>
      <c r="AH46" s="10">
        <v>0</v>
      </c>
    </row>
    <row r="47" spans="1:34" s="10" customFormat="1" ht="0.75" hidden="1" customHeight="1">
      <c r="A47" s="33"/>
      <c r="B47" s="33"/>
      <c r="C47" s="3" t="s">
        <v>1148</v>
      </c>
      <c r="D47" s="1438"/>
      <c r="E47" s="1239"/>
      <c r="F47" s="1377"/>
      <c r="G47" s="224"/>
      <c r="H47" s="821"/>
      <c r="I47" s="51"/>
      <c r="J47" s="108"/>
      <c r="K47" s="821"/>
      <c r="L47" s="105"/>
      <c r="M47" s="1191"/>
      <c r="N47" s="193"/>
      <c r="O47" s="66"/>
      <c r="P47" s="66"/>
      <c r="AH47" s="10">
        <v>0</v>
      </c>
    </row>
    <row r="48" spans="1:34" s="10" customFormat="1" ht="18.75" hidden="1" customHeight="1">
      <c r="A48" s="33" t="s">
        <v>201</v>
      </c>
      <c r="B48" s="33" t="s">
        <v>202</v>
      </c>
      <c r="C48" s="3"/>
      <c r="D48" s="1438"/>
      <c r="E48" s="1239"/>
      <c r="F48" s="1377" t="str">
        <f>INDEX(PT_DIFFERENTIATION_VTAR,MATCH(A48,PT_DIFFERENTIATION_VTAR_ID,0))</f>
        <v>Плата за подключение (технологическое присоединение) к системе теплоснабжения (индивидуальная)</v>
      </c>
      <c r="G48" s="1413" t="str">
        <f>INDEX(PT_DIFFERENTIATION_NTAR,MATCH(B48,PT_DIFFERENTIATION_NTAR_ID,0))</f>
        <v/>
      </c>
      <c r="H48" s="760"/>
      <c r="I48" s="947"/>
      <c r="J48" s="973"/>
      <c r="K48" s="1007"/>
      <c r="L48" s="760" t="s">
        <v>306</v>
      </c>
      <c r="M48" s="1191"/>
      <c r="N48" s="193"/>
      <c r="O48" s="66"/>
      <c r="P48" s="66"/>
      <c r="AH48" s="10">
        <v>0</v>
      </c>
    </row>
    <row r="49" spans="1:34" s="10" customFormat="1" ht="18.75" hidden="1" customHeight="1">
      <c r="A49" s="33"/>
      <c r="B49" s="33"/>
      <c r="C49" s="3" t="s">
        <v>1142</v>
      </c>
      <c r="D49" s="1438"/>
      <c r="E49" s="1239"/>
      <c r="F49" s="1377"/>
      <c r="G49" s="1413"/>
      <c r="H49" s="821"/>
      <c r="I49" s="51" t="s">
        <v>1143</v>
      </c>
      <c r="J49" s="108"/>
      <c r="K49" s="821"/>
      <c r="L49" s="105"/>
      <c r="M49" s="1191"/>
      <c r="N49" s="193"/>
      <c r="O49" s="66"/>
      <c r="P49" s="66"/>
      <c r="AH49" s="10">
        <v>0</v>
      </c>
    </row>
    <row r="50" spans="1:34" s="10" customFormat="1" ht="0.75" hidden="1" customHeight="1">
      <c r="A50" s="33"/>
      <c r="B50" s="33"/>
      <c r="C50" s="3" t="s">
        <v>1148</v>
      </c>
      <c r="D50" s="1438"/>
      <c r="E50" s="1239"/>
      <c r="F50" s="1377"/>
      <c r="G50" s="224"/>
      <c r="H50" s="821"/>
      <c r="I50" s="51"/>
      <c r="J50" s="108"/>
      <c r="K50" s="821"/>
      <c r="L50" s="105"/>
      <c r="M50" s="1191"/>
      <c r="N50" s="193"/>
      <c r="O50" s="66"/>
      <c r="P50" s="66"/>
      <c r="AH50" s="10">
        <v>0</v>
      </c>
    </row>
    <row r="51" spans="1:34" s="10" customFormat="1" ht="18.75" hidden="1" customHeight="1">
      <c r="A51" s="33" t="s">
        <v>221</v>
      </c>
      <c r="B51" s="33" t="s">
        <v>222</v>
      </c>
      <c r="C51" s="3"/>
      <c r="D51" s="1438"/>
      <c r="E51" s="1239"/>
      <c r="F51" s="1377" t="str">
        <f>INDEX(PT_DIFFERENTIATION_VTAR,MATCH(A51,PT_DIFFERENTIATION_VTAR_ID,0))</f>
        <v>Тариф на питьевую воду (питьевое водоснабжение)</v>
      </c>
      <c r="G51" s="1413" t="str">
        <f>INDEX(PT_DIFFERENTIATION_NTAR,MATCH(B51,PT_DIFFERENTIATION_NTAR_ID,0))</f>
        <v/>
      </c>
      <c r="H51" s="760"/>
      <c r="I51" s="947"/>
      <c r="J51" s="973"/>
      <c r="K51" s="1007"/>
      <c r="L51" s="760" t="s">
        <v>306</v>
      </c>
      <c r="M51" s="1191"/>
      <c r="N51" s="193"/>
      <c r="O51" s="66"/>
      <c r="P51" s="66"/>
      <c r="AH51" s="10">
        <v>0</v>
      </c>
    </row>
    <row r="52" spans="1:34" s="10" customFormat="1" ht="18.75" hidden="1" customHeight="1">
      <c r="A52" s="33"/>
      <c r="B52" s="33"/>
      <c r="C52" s="3" t="s">
        <v>1142</v>
      </c>
      <c r="D52" s="1438"/>
      <c r="E52" s="1239"/>
      <c r="F52" s="1377"/>
      <c r="G52" s="1413"/>
      <c r="H52" s="821"/>
      <c r="I52" s="51" t="s">
        <v>1143</v>
      </c>
      <c r="J52" s="108"/>
      <c r="K52" s="821"/>
      <c r="L52" s="105"/>
      <c r="M52" s="1191"/>
      <c r="N52" s="193"/>
      <c r="O52" s="66"/>
      <c r="P52" s="66"/>
      <c r="AH52" s="10">
        <v>0</v>
      </c>
    </row>
    <row r="53" spans="1:34" s="10" customFormat="1" ht="0.75" hidden="1" customHeight="1">
      <c r="A53" s="33"/>
      <c r="B53" s="33"/>
      <c r="C53" s="3" t="s">
        <v>1148</v>
      </c>
      <c r="D53" s="1438"/>
      <c r="E53" s="1239"/>
      <c r="F53" s="1377"/>
      <c r="G53" s="224"/>
      <c r="H53" s="821"/>
      <c r="I53" s="51"/>
      <c r="J53" s="108"/>
      <c r="K53" s="821"/>
      <c r="L53" s="105"/>
      <c r="M53" s="1191"/>
      <c r="N53" s="193"/>
      <c r="O53" s="66"/>
      <c r="P53" s="66"/>
      <c r="AH53" s="10">
        <v>0</v>
      </c>
    </row>
    <row r="54" spans="1:34" s="10" customFormat="1" ht="28.5" customHeight="1">
      <c r="A54" s="33" t="s">
        <v>227</v>
      </c>
      <c r="B54" s="33" t="s">
        <v>228</v>
      </c>
      <c r="C54" s="3"/>
      <c r="D54" s="1438"/>
      <c r="E54" s="1239"/>
      <c r="F54" s="1377" t="str">
        <f>INDEX(PT_DIFFERENTIATION_VTAR,MATCH(A54,PT_DIFFERENTIATION_VTAR_ID,0))</f>
        <v>Тариф на техническую воду</v>
      </c>
      <c r="G54" s="1413" t="str">
        <f>INDEX(PT_DIFFERENTIATION_NTAR,MATCH(B54,PT_DIFFERENTIATION_NTAR_ID,0))</f>
        <v>Тариф на техническую воду</v>
      </c>
      <c r="H54" s="760"/>
      <c r="I54" s="947">
        <v>46023</v>
      </c>
      <c r="J54" s="973">
        <v>46387</v>
      </c>
      <c r="K54" s="1007" t="s">
        <v>1149</v>
      </c>
      <c r="L54" s="760" t="s">
        <v>306</v>
      </c>
      <c r="M54" s="1191"/>
      <c r="N54" s="193"/>
      <c r="O54" s="66"/>
      <c r="P54" s="66"/>
      <c r="AH54" s="10">
        <v>0</v>
      </c>
    </row>
    <row r="55" spans="1:34" s="10" customFormat="1" ht="26.25" customHeight="1">
      <c r="A55" s="33"/>
      <c r="B55" s="33"/>
      <c r="C55" s="3"/>
      <c r="D55" s="1447"/>
      <c r="E55" s="1446"/>
      <c r="F55" s="1446"/>
      <c r="G55" s="1446"/>
      <c r="H55" s="760" t="s">
        <v>493</v>
      </c>
      <c r="I55" s="947">
        <v>46388</v>
      </c>
      <c r="J55" s="973">
        <v>46752</v>
      </c>
      <c r="K55" s="1007" t="s">
        <v>1149</v>
      </c>
      <c r="L55" s="760" t="s">
        <v>306</v>
      </c>
      <c r="M55" s="1324"/>
      <c r="N55" s="193"/>
      <c r="O55" s="66"/>
      <c r="P55" s="66"/>
      <c r="AH55" s="10">
        <v>0</v>
      </c>
    </row>
    <row r="56" spans="1:34" s="10" customFormat="1" ht="24" customHeight="1">
      <c r="A56" s="33"/>
      <c r="B56" s="33"/>
      <c r="C56" s="3"/>
      <c r="D56" s="1447"/>
      <c r="E56" s="1446"/>
      <c r="F56" s="1446"/>
      <c r="G56" s="1446"/>
      <c r="H56" s="760" t="s">
        <v>493</v>
      </c>
      <c r="I56" s="947">
        <v>46753</v>
      </c>
      <c r="J56" s="973">
        <v>47118</v>
      </c>
      <c r="K56" s="1007" t="s">
        <v>1149</v>
      </c>
      <c r="L56" s="760" t="s">
        <v>306</v>
      </c>
      <c r="M56" s="1324"/>
      <c r="N56" s="193"/>
      <c r="O56" s="66"/>
      <c r="P56" s="66"/>
      <c r="AH56" s="10">
        <v>0</v>
      </c>
    </row>
    <row r="57" spans="1:34" s="10" customFormat="1" ht="27" customHeight="1">
      <c r="A57" s="33"/>
      <c r="B57" s="33"/>
      <c r="C57" s="3"/>
      <c r="D57" s="1447"/>
      <c r="E57" s="1446"/>
      <c r="F57" s="1446"/>
      <c r="G57" s="1446"/>
      <c r="H57" s="760" t="s">
        <v>493</v>
      </c>
      <c r="I57" s="947">
        <v>47119</v>
      </c>
      <c r="J57" s="973">
        <v>47483</v>
      </c>
      <c r="K57" s="1007" t="s">
        <v>1149</v>
      </c>
      <c r="L57" s="760" t="s">
        <v>306</v>
      </c>
      <c r="M57" s="1324"/>
      <c r="N57" s="193"/>
      <c r="O57" s="66"/>
      <c r="P57" s="66"/>
      <c r="AH57" s="10">
        <v>0</v>
      </c>
    </row>
    <row r="58" spans="1:34" s="10" customFormat="1" ht="16.5" customHeight="1">
      <c r="A58" s="33"/>
      <c r="B58" s="33"/>
      <c r="C58" s="3" t="s">
        <v>1142</v>
      </c>
      <c r="D58" s="1438"/>
      <c r="E58" s="1239"/>
      <c r="F58" s="1377"/>
      <c r="G58" s="1413"/>
      <c r="H58" s="821"/>
      <c r="I58" s="51" t="s">
        <v>1143</v>
      </c>
      <c r="J58" s="108"/>
      <c r="K58" s="821"/>
      <c r="L58" s="105"/>
      <c r="M58" s="1191"/>
      <c r="N58" s="193"/>
      <c r="O58" s="66"/>
      <c r="P58" s="66"/>
      <c r="AH58" s="10">
        <v>0</v>
      </c>
    </row>
    <row r="59" spans="1:34" s="10" customFormat="1" ht="0.75" customHeight="1">
      <c r="A59" s="33"/>
      <c r="B59" s="33"/>
      <c r="C59" s="3" t="s">
        <v>1148</v>
      </c>
      <c r="D59" s="1438"/>
      <c r="E59" s="1239"/>
      <c r="F59" s="1377"/>
      <c r="G59" s="224"/>
      <c r="H59" s="821"/>
      <c r="I59" s="51"/>
      <c r="J59" s="108"/>
      <c r="K59" s="821"/>
      <c r="L59" s="105"/>
      <c r="M59" s="1191"/>
      <c r="N59" s="193"/>
      <c r="O59" s="66"/>
      <c r="P59" s="66"/>
      <c r="AH59" s="10">
        <v>0</v>
      </c>
    </row>
    <row r="60" spans="1:34" s="10" customFormat="1" ht="18.75" hidden="1" customHeight="1">
      <c r="A60" s="33" t="s">
        <v>235</v>
      </c>
      <c r="B60" s="33" t="s">
        <v>236</v>
      </c>
      <c r="C60" s="3"/>
      <c r="D60" s="1438"/>
      <c r="E60" s="1239"/>
      <c r="F60" s="1377" t="str">
        <f>INDEX(PT_DIFFERENTIATION_VTAR,MATCH(A60,PT_DIFFERENTIATION_VTAR_ID,0))</f>
        <v>Тариф на транспортировку воды</v>
      </c>
      <c r="G60" s="1413" t="str">
        <f>INDEX(PT_DIFFERENTIATION_NTAR,MATCH(B60,PT_DIFFERENTIATION_NTAR_ID,0))</f>
        <v/>
      </c>
      <c r="H60" s="760"/>
      <c r="I60" s="947"/>
      <c r="J60" s="973"/>
      <c r="K60" s="1007"/>
      <c r="L60" s="760" t="s">
        <v>306</v>
      </c>
      <c r="M60" s="1191"/>
      <c r="N60" s="193"/>
      <c r="O60" s="66"/>
      <c r="P60" s="66"/>
      <c r="AH60" s="10">
        <v>0</v>
      </c>
    </row>
    <row r="61" spans="1:34" s="10" customFormat="1" ht="18.75" hidden="1" customHeight="1">
      <c r="A61" s="33"/>
      <c r="B61" s="33"/>
      <c r="C61" s="3" t="s">
        <v>1142</v>
      </c>
      <c r="D61" s="1438"/>
      <c r="E61" s="1239"/>
      <c r="F61" s="1377"/>
      <c r="G61" s="1413"/>
      <c r="H61" s="821"/>
      <c r="I61" s="51" t="s">
        <v>1143</v>
      </c>
      <c r="J61" s="108"/>
      <c r="K61" s="821"/>
      <c r="L61" s="105"/>
      <c r="M61" s="1191"/>
      <c r="N61" s="193"/>
      <c r="O61" s="66"/>
      <c r="P61" s="66"/>
      <c r="AH61" s="10">
        <v>0</v>
      </c>
    </row>
    <row r="62" spans="1:34" s="10" customFormat="1" ht="0.75" hidden="1" customHeight="1">
      <c r="A62" s="33"/>
      <c r="B62" s="33"/>
      <c r="C62" s="3" t="s">
        <v>1148</v>
      </c>
      <c r="D62" s="1438"/>
      <c r="E62" s="1239"/>
      <c r="F62" s="1377"/>
      <c r="G62" s="224"/>
      <c r="H62" s="821"/>
      <c r="I62" s="51"/>
      <c r="J62" s="108"/>
      <c r="K62" s="821"/>
      <c r="L62" s="105"/>
      <c r="M62" s="1191"/>
      <c r="N62" s="193"/>
      <c r="O62" s="66"/>
      <c r="P62" s="66"/>
      <c r="AH62" s="10">
        <v>0</v>
      </c>
    </row>
    <row r="63" spans="1:34" s="10" customFormat="1" ht="18.75" hidden="1" customHeight="1">
      <c r="A63" s="33" t="s">
        <v>240</v>
      </c>
      <c r="B63" s="33" t="s">
        <v>241</v>
      </c>
      <c r="C63" s="3"/>
      <c r="D63" s="1438"/>
      <c r="E63" s="1239"/>
      <c r="F63" s="1377" t="str">
        <f>INDEX(PT_DIFFERENTIATION_VTAR,MATCH(A63,PT_DIFFERENTIATION_VTAR_ID,0))</f>
        <v>Тариф на подвоз воды</v>
      </c>
      <c r="G63" s="1413" t="str">
        <f>INDEX(PT_DIFFERENTIATION_NTAR,MATCH(B63,PT_DIFFERENTIATION_NTAR_ID,0))</f>
        <v/>
      </c>
      <c r="H63" s="760"/>
      <c r="I63" s="947"/>
      <c r="J63" s="973"/>
      <c r="K63" s="1007"/>
      <c r="L63" s="760" t="s">
        <v>306</v>
      </c>
      <c r="M63" s="1191"/>
      <c r="N63" s="193"/>
      <c r="O63" s="66"/>
      <c r="P63" s="66"/>
      <c r="AH63" s="10">
        <v>0</v>
      </c>
    </row>
    <row r="64" spans="1:34" s="10" customFormat="1" ht="18.75" hidden="1" customHeight="1">
      <c r="A64" s="33"/>
      <c r="B64" s="33"/>
      <c r="C64" s="3" t="s">
        <v>1142</v>
      </c>
      <c r="D64" s="1438"/>
      <c r="E64" s="1239"/>
      <c r="F64" s="1377"/>
      <c r="G64" s="1413"/>
      <c r="H64" s="821"/>
      <c r="I64" s="51" t="s">
        <v>1143</v>
      </c>
      <c r="J64" s="108"/>
      <c r="K64" s="821"/>
      <c r="L64" s="105"/>
      <c r="M64" s="1191"/>
      <c r="N64" s="193"/>
      <c r="O64" s="66"/>
      <c r="P64" s="66"/>
      <c r="AH64" s="10">
        <v>0</v>
      </c>
    </row>
    <row r="65" spans="1:34" s="10" customFormat="1" ht="0.75" hidden="1" customHeight="1">
      <c r="A65" s="33"/>
      <c r="B65" s="33"/>
      <c r="C65" s="3" t="s">
        <v>1148</v>
      </c>
      <c r="D65" s="1438"/>
      <c r="E65" s="1239"/>
      <c r="F65" s="1377"/>
      <c r="G65" s="224"/>
      <c r="H65" s="821"/>
      <c r="I65" s="51"/>
      <c r="J65" s="108"/>
      <c r="K65" s="821"/>
      <c r="L65" s="105"/>
      <c r="M65" s="1191"/>
      <c r="N65" s="193"/>
      <c r="O65" s="66"/>
      <c r="P65" s="66"/>
      <c r="AH65" s="10">
        <v>0</v>
      </c>
    </row>
    <row r="66" spans="1:34" s="10" customFormat="1" ht="18.75" hidden="1" customHeight="1">
      <c r="A66" s="33" t="s">
        <v>245</v>
      </c>
      <c r="B66" s="33" t="s">
        <v>246</v>
      </c>
      <c r="C66" s="3"/>
      <c r="D66" s="1438"/>
      <c r="E66" s="1239"/>
      <c r="F66" s="1377" t="str">
        <f>INDEX(PT_DIFFERENTIATION_VTAR,MATCH(A66,PT_DIFFERENTIATION_VTAR_ID,0))</f>
        <v>Тариф на подключение (технологическое присоединение) к централизованной системе холодного водоснабжения</v>
      </c>
      <c r="G66" s="1413" t="str">
        <f>INDEX(PT_DIFFERENTIATION_NTAR,MATCH(B66,PT_DIFFERENTIATION_NTAR_ID,0))</f>
        <v/>
      </c>
      <c r="H66" s="760"/>
      <c r="I66" s="947"/>
      <c r="J66" s="973"/>
      <c r="K66" s="1007"/>
      <c r="L66" s="760" t="s">
        <v>306</v>
      </c>
      <c r="M66" s="1191"/>
      <c r="N66" s="193"/>
      <c r="O66" s="66"/>
      <c r="P66" s="66"/>
      <c r="AH66" s="10">
        <v>0</v>
      </c>
    </row>
    <row r="67" spans="1:34" s="10" customFormat="1" ht="18.75" hidden="1" customHeight="1">
      <c r="A67" s="33"/>
      <c r="B67" s="33"/>
      <c r="C67" s="3" t="s">
        <v>1142</v>
      </c>
      <c r="D67" s="1438"/>
      <c r="E67" s="1239"/>
      <c r="F67" s="1377"/>
      <c r="G67" s="1413"/>
      <c r="H67" s="821"/>
      <c r="I67" s="51" t="s">
        <v>1143</v>
      </c>
      <c r="J67" s="108"/>
      <c r="K67" s="821"/>
      <c r="L67" s="105"/>
      <c r="M67" s="1191"/>
      <c r="N67" s="193"/>
      <c r="O67" s="66"/>
      <c r="P67" s="66"/>
      <c r="AH67" s="10">
        <v>0</v>
      </c>
    </row>
    <row r="68" spans="1:34" s="10" customFormat="1" ht="0.75" hidden="1" customHeight="1">
      <c r="A68" s="33"/>
      <c r="B68" s="33"/>
      <c r="C68" s="3" t="s">
        <v>1148</v>
      </c>
      <c r="D68" s="1438"/>
      <c r="E68" s="1239"/>
      <c r="F68" s="1377"/>
      <c r="G68" s="224"/>
      <c r="H68" s="821"/>
      <c r="I68" s="51"/>
      <c r="J68" s="108"/>
      <c r="K68" s="821"/>
      <c r="L68" s="105"/>
      <c r="M68" s="1191"/>
      <c r="N68" s="193"/>
      <c r="O68" s="66"/>
      <c r="P68" s="66"/>
      <c r="AH68" s="10">
        <v>0</v>
      </c>
    </row>
    <row r="69" spans="1:34" s="10" customFormat="1" ht="18.75" hidden="1" customHeight="1">
      <c r="A69" s="33" t="s">
        <v>250</v>
      </c>
      <c r="B69" s="33" t="s">
        <v>251</v>
      </c>
      <c r="C69" s="3"/>
      <c r="D69" s="1438"/>
      <c r="E69" s="1239"/>
      <c r="F69" s="1377" t="str">
        <f>INDEX(PT_DIFFERENTIATION_VTAR,MATCH(A69,PT_DIFFERENTIATION_VTAR_ID,0))</f>
        <v>Тариф на горячую воду (горячее водоснабжение)</v>
      </c>
      <c r="G69" s="1413" t="str">
        <f>INDEX(PT_DIFFERENTIATION_NTAR,MATCH(B69,PT_DIFFERENTIATION_NTAR_ID,0))</f>
        <v/>
      </c>
      <c r="H69" s="760"/>
      <c r="I69" s="947"/>
      <c r="J69" s="973"/>
      <c r="K69" s="1007"/>
      <c r="L69" s="760" t="s">
        <v>306</v>
      </c>
      <c r="M69" s="1191"/>
      <c r="N69" s="193"/>
      <c r="O69" s="66"/>
      <c r="P69" s="66"/>
      <c r="AH69" s="10">
        <v>0</v>
      </c>
    </row>
    <row r="70" spans="1:34" s="10" customFormat="1" ht="18.75" hidden="1" customHeight="1">
      <c r="A70" s="33"/>
      <c r="B70" s="33"/>
      <c r="C70" s="3" t="s">
        <v>1142</v>
      </c>
      <c r="D70" s="1438"/>
      <c r="E70" s="1239"/>
      <c r="F70" s="1377"/>
      <c r="G70" s="1413"/>
      <c r="H70" s="821"/>
      <c r="I70" s="51" t="s">
        <v>1143</v>
      </c>
      <c r="J70" s="108"/>
      <c r="K70" s="821"/>
      <c r="L70" s="105"/>
      <c r="M70" s="1191"/>
      <c r="N70" s="193"/>
      <c r="O70" s="66"/>
      <c r="P70" s="66"/>
      <c r="AH70" s="10">
        <v>0</v>
      </c>
    </row>
    <row r="71" spans="1:34" s="10" customFormat="1" ht="0.75" hidden="1" customHeight="1">
      <c r="A71" s="33"/>
      <c r="B71" s="33"/>
      <c r="C71" s="3" t="s">
        <v>1148</v>
      </c>
      <c r="D71" s="1438"/>
      <c r="E71" s="1239"/>
      <c r="F71" s="1377"/>
      <c r="G71" s="224"/>
      <c r="H71" s="821"/>
      <c r="I71" s="51"/>
      <c r="J71" s="108"/>
      <c r="K71" s="821"/>
      <c r="L71" s="105"/>
      <c r="M71" s="1191"/>
      <c r="N71" s="193"/>
      <c r="O71" s="66"/>
      <c r="P71" s="66"/>
      <c r="AH71" s="10">
        <v>0</v>
      </c>
    </row>
    <row r="72" spans="1:34" s="10" customFormat="1" ht="18.75" hidden="1" customHeight="1">
      <c r="A72" s="33" t="s">
        <v>255</v>
      </c>
      <c r="B72" s="33" t="s">
        <v>256</v>
      </c>
      <c r="C72" s="3"/>
      <c r="D72" s="1438"/>
      <c r="E72" s="1239"/>
      <c r="F72" s="1377" t="str">
        <f>INDEX(PT_DIFFERENTIATION_VTAR,MATCH(A72,PT_DIFFERENTIATION_VTAR_ID,0))</f>
        <v>Тариф на транспортировку горячей воды</v>
      </c>
      <c r="G72" s="1413" t="str">
        <f>INDEX(PT_DIFFERENTIATION_NTAR,MATCH(B72,PT_DIFFERENTIATION_NTAR_ID,0))</f>
        <v/>
      </c>
      <c r="H72" s="760"/>
      <c r="I72" s="947"/>
      <c r="J72" s="973"/>
      <c r="K72" s="1007"/>
      <c r="L72" s="760" t="s">
        <v>306</v>
      </c>
      <c r="M72" s="1191"/>
      <c r="N72" s="193"/>
      <c r="O72" s="66"/>
      <c r="P72" s="66"/>
      <c r="AH72" s="10">
        <v>0</v>
      </c>
    </row>
    <row r="73" spans="1:34" s="10" customFormat="1" ht="18.75" hidden="1" customHeight="1">
      <c r="A73" s="33"/>
      <c r="B73" s="33"/>
      <c r="C73" s="3" t="s">
        <v>1142</v>
      </c>
      <c r="D73" s="1438"/>
      <c r="E73" s="1239"/>
      <c r="F73" s="1377"/>
      <c r="G73" s="1413"/>
      <c r="H73" s="821"/>
      <c r="I73" s="51" t="s">
        <v>1143</v>
      </c>
      <c r="J73" s="108"/>
      <c r="K73" s="821"/>
      <c r="L73" s="105"/>
      <c r="M73" s="1191"/>
      <c r="N73" s="193"/>
      <c r="O73" s="66"/>
      <c r="P73" s="66"/>
      <c r="AH73" s="10">
        <v>0</v>
      </c>
    </row>
    <row r="74" spans="1:34" s="10" customFormat="1" ht="0.75" hidden="1" customHeight="1">
      <c r="A74" s="33"/>
      <c r="B74" s="33"/>
      <c r="C74" s="3" t="s">
        <v>1148</v>
      </c>
      <c r="D74" s="1438"/>
      <c r="E74" s="1239"/>
      <c r="F74" s="1377"/>
      <c r="G74" s="224"/>
      <c r="H74" s="821"/>
      <c r="I74" s="51"/>
      <c r="J74" s="108"/>
      <c r="K74" s="821"/>
      <c r="L74" s="105"/>
      <c r="M74" s="1191"/>
      <c r="N74" s="193"/>
      <c r="O74" s="66"/>
      <c r="P74" s="66"/>
      <c r="AH74" s="10">
        <v>0</v>
      </c>
    </row>
    <row r="75" spans="1:34" s="10" customFormat="1" ht="18.75" hidden="1" customHeight="1">
      <c r="A75" s="33" t="s">
        <v>260</v>
      </c>
      <c r="B75" s="33" t="s">
        <v>261</v>
      </c>
      <c r="C75" s="3"/>
      <c r="D75" s="1438"/>
      <c r="E75" s="1239"/>
      <c r="F75" s="1377" t="str">
        <f>INDEX(PT_DIFFERENTIATION_VTAR,MATCH(A75,PT_DIFFERENTIATION_VTAR_ID,0))</f>
        <v>Тариф на подключение (технологическое присоединение) к централизованной системе горячего водоснабжения</v>
      </c>
      <c r="G75" s="1413" t="str">
        <f>INDEX(PT_DIFFERENTIATION_NTAR,MATCH(B75,PT_DIFFERENTIATION_NTAR_ID,0))</f>
        <v/>
      </c>
      <c r="H75" s="760"/>
      <c r="I75" s="947"/>
      <c r="J75" s="973"/>
      <c r="K75" s="1007"/>
      <c r="L75" s="760" t="s">
        <v>306</v>
      </c>
      <c r="M75" s="1191"/>
      <c r="N75" s="193"/>
      <c r="O75" s="66"/>
      <c r="P75" s="66"/>
      <c r="AH75" s="10">
        <v>0</v>
      </c>
    </row>
    <row r="76" spans="1:34" s="10" customFormat="1" ht="18.75" hidden="1" customHeight="1">
      <c r="A76" s="33"/>
      <c r="B76" s="33"/>
      <c r="C76" s="3" t="s">
        <v>1142</v>
      </c>
      <c r="D76" s="1438"/>
      <c r="E76" s="1239"/>
      <c r="F76" s="1377"/>
      <c r="G76" s="1413"/>
      <c r="H76" s="821"/>
      <c r="I76" s="51" t="s">
        <v>1143</v>
      </c>
      <c r="J76" s="108"/>
      <c r="K76" s="821"/>
      <c r="L76" s="105"/>
      <c r="M76" s="1191"/>
      <c r="N76" s="193"/>
      <c r="O76" s="66"/>
      <c r="P76" s="66"/>
      <c r="AH76" s="10">
        <v>0</v>
      </c>
    </row>
    <row r="77" spans="1:34" s="10" customFormat="1" ht="0.75" hidden="1" customHeight="1">
      <c r="A77" s="33"/>
      <c r="B77" s="33"/>
      <c r="C77" s="3" t="s">
        <v>1148</v>
      </c>
      <c r="D77" s="1438"/>
      <c r="E77" s="1239"/>
      <c r="F77" s="1377"/>
      <c r="G77" s="224"/>
      <c r="H77" s="821"/>
      <c r="I77" s="51"/>
      <c r="J77" s="108"/>
      <c r="K77" s="821"/>
      <c r="L77" s="105"/>
      <c r="M77" s="1191"/>
      <c r="N77" s="193"/>
      <c r="O77" s="66"/>
      <c r="P77" s="66"/>
      <c r="AH77" s="10">
        <v>0</v>
      </c>
    </row>
    <row r="78" spans="1:34" s="10" customFormat="1" ht="18.75" hidden="1" customHeight="1">
      <c r="A78" s="33" t="s">
        <v>265</v>
      </c>
      <c r="B78" s="33" t="s">
        <v>266</v>
      </c>
      <c r="C78" s="3"/>
      <c r="D78" s="1438"/>
      <c r="E78" s="1239"/>
      <c r="F78" s="1377" t="str">
        <f>INDEX(PT_DIFFERENTIATION_VTAR,MATCH(A78,PT_DIFFERENTIATION_VTAR_ID,0))</f>
        <v>Тариф на водоотведение</v>
      </c>
      <c r="G78" s="1413" t="str">
        <f>INDEX(PT_DIFFERENTIATION_NTAR,MATCH(B78,PT_DIFFERENTIATION_NTAR_ID,0))</f>
        <v/>
      </c>
      <c r="H78" s="760"/>
      <c r="I78" s="947"/>
      <c r="J78" s="973"/>
      <c r="K78" s="1007"/>
      <c r="L78" s="760" t="s">
        <v>306</v>
      </c>
      <c r="M78" s="1191"/>
      <c r="N78" s="193"/>
      <c r="O78" s="66"/>
      <c r="P78" s="66"/>
      <c r="AH78" s="10">
        <v>0</v>
      </c>
    </row>
    <row r="79" spans="1:34" s="10" customFormat="1" ht="18.75" hidden="1" customHeight="1">
      <c r="A79" s="33"/>
      <c r="B79" s="33"/>
      <c r="C79" s="3" t="s">
        <v>1142</v>
      </c>
      <c r="D79" s="1438"/>
      <c r="E79" s="1239"/>
      <c r="F79" s="1377"/>
      <c r="G79" s="1413"/>
      <c r="H79" s="821"/>
      <c r="I79" s="51" t="s">
        <v>1143</v>
      </c>
      <c r="J79" s="108"/>
      <c r="K79" s="821"/>
      <c r="L79" s="105"/>
      <c r="M79" s="1191"/>
      <c r="N79" s="193"/>
      <c r="O79" s="66"/>
      <c r="P79" s="66"/>
      <c r="AH79" s="10">
        <v>0</v>
      </c>
    </row>
    <row r="80" spans="1:34" s="10" customFormat="1" ht="0.75" hidden="1" customHeight="1">
      <c r="A80" s="33"/>
      <c r="B80" s="33"/>
      <c r="C80" s="3" t="s">
        <v>1148</v>
      </c>
      <c r="D80" s="1438"/>
      <c r="E80" s="1239"/>
      <c r="F80" s="1377"/>
      <c r="G80" s="224"/>
      <c r="H80" s="821"/>
      <c r="I80" s="51"/>
      <c r="J80" s="108"/>
      <c r="K80" s="821"/>
      <c r="L80" s="105"/>
      <c r="M80" s="1191"/>
      <c r="N80" s="193"/>
      <c r="O80" s="66"/>
      <c r="P80" s="66"/>
      <c r="AH80" s="10">
        <v>0</v>
      </c>
    </row>
    <row r="81" spans="1:34" s="10" customFormat="1" ht="18.75" hidden="1" customHeight="1">
      <c r="A81" s="33" t="s">
        <v>270</v>
      </c>
      <c r="B81" s="33" t="s">
        <v>271</v>
      </c>
      <c r="C81" s="3"/>
      <c r="D81" s="1438"/>
      <c r="E81" s="1239"/>
      <c r="F81" s="1377" t="str">
        <f>INDEX(PT_DIFFERENTIATION_VTAR,MATCH(A81,PT_DIFFERENTIATION_VTAR_ID,0))</f>
        <v>Тариф на транспортировку сточных вод</v>
      </c>
      <c r="G81" s="1413" t="str">
        <f>INDEX(PT_DIFFERENTIATION_NTAR,MATCH(B81,PT_DIFFERENTIATION_NTAR_ID,0))</f>
        <v/>
      </c>
      <c r="H81" s="760"/>
      <c r="I81" s="947"/>
      <c r="J81" s="973"/>
      <c r="K81" s="1007"/>
      <c r="L81" s="760" t="s">
        <v>306</v>
      </c>
      <c r="M81" s="1191"/>
      <c r="N81" s="193"/>
      <c r="O81" s="66"/>
      <c r="P81" s="66"/>
      <c r="AH81" s="10">
        <v>0</v>
      </c>
    </row>
    <row r="82" spans="1:34" s="10" customFormat="1" ht="18.75" hidden="1" customHeight="1">
      <c r="A82" s="33"/>
      <c r="B82" s="33"/>
      <c r="C82" s="3" t="s">
        <v>1142</v>
      </c>
      <c r="D82" s="1438"/>
      <c r="E82" s="1239"/>
      <c r="F82" s="1377"/>
      <c r="G82" s="1413"/>
      <c r="H82" s="821"/>
      <c r="I82" s="51" t="s">
        <v>1143</v>
      </c>
      <c r="J82" s="108"/>
      <c r="K82" s="821"/>
      <c r="L82" s="105"/>
      <c r="M82" s="1191"/>
      <c r="N82" s="193"/>
      <c r="O82" s="66"/>
      <c r="P82" s="66"/>
      <c r="AH82" s="10">
        <v>0</v>
      </c>
    </row>
    <row r="83" spans="1:34" s="10" customFormat="1" ht="0.75" hidden="1" customHeight="1">
      <c r="A83" s="33"/>
      <c r="B83" s="33"/>
      <c r="C83" s="3" t="s">
        <v>1148</v>
      </c>
      <c r="D83" s="1438"/>
      <c r="E83" s="1239"/>
      <c r="F83" s="1377"/>
      <c r="G83" s="224"/>
      <c r="H83" s="821"/>
      <c r="I83" s="51"/>
      <c r="J83" s="108"/>
      <c r="K83" s="821"/>
      <c r="L83" s="105"/>
      <c r="M83" s="1191"/>
      <c r="N83" s="193"/>
      <c r="O83" s="66"/>
      <c r="P83" s="66"/>
      <c r="AH83" s="10">
        <v>0</v>
      </c>
    </row>
    <row r="84" spans="1:34" s="10" customFormat="1" ht="18.75" hidden="1" customHeight="1">
      <c r="A84" s="33" t="s">
        <v>275</v>
      </c>
      <c r="B84" s="33" t="s">
        <v>276</v>
      </c>
      <c r="C84" s="3"/>
      <c r="D84" s="1438"/>
      <c r="E84" s="1239"/>
      <c r="F84" s="1377" t="str">
        <f>INDEX(PT_DIFFERENTIATION_VTAR,MATCH(A84,PT_DIFFERENTIATION_VTAR_ID,0))</f>
        <v>Тариф на подключение (технологическое присоединение) к централизованной системе водоотведения</v>
      </c>
      <c r="G84" s="1413" t="str">
        <f>INDEX(PT_DIFFERENTIATION_NTAR,MATCH(B84,PT_DIFFERENTIATION_NTAR_ID,0))</f>
        <v/>
      </c>
      <c r="H84" s="760"/>
      <c r="I84" s="947"/>
      <c r="J84" s="973"/>
      <c r="K84" s="1007"/>
      <c r="L84" s="760" t="s">
        <v>306</v>
      </c>
      <c r="M84" s="1191"/>
      <c r="N84" s="193"/>
      <c r="O84" s="66"/>
      <c r="P84" s="66"/>
      <c r="AH84" s="10">
        <v>0</v>
      </c>
    </row>
    <row r="85" spans="1:34" s="10" customFormat="1" ht="12.75" hidden="1" customHeight="1">
      <c r="A85" s="33"/>
      <c r="B85" s="33"/>
      <c r="C85" s="3" t="s">
        <v>1142</v>
      </c>
      <c r="D85" s="1438"/>
      <c r="E85" s="1239"/>
      <c r="F85" s="1377"/>
      <c r="G85" s="1413"/>
      <c r="H85" s="821"/>
      <c r="I85" s="51" t="s">
        <v>1143</v>
      </c>
      <c r="J85" s="108"/>
      <c r="K85" s="821"/>
      <c r="L85" s="105"/>
      <c r="M85" s="1191"/>
      <c r="N85" s="193"/>
      <c r="O85" s="66"/>
      <c r="P85" s="66"/>
      <c r="AH85" s="10">
        <v>0</v>
      </c>
    </row>
    <row r="86" spans="1:34" s="10" customFormat="1" ht="1.1499999999999999" customHeight="1">
      <c r="A86" s="33"/>
      <c r="B86" s="33"/>
      <c r="C86" s="3" t="s">
        <v>1148</v>
      </c>
      <c r="D86" s="1438"/>
      <c r="E86" s="1239"/>
      <c r="F86" s="1377"/>
      <c r="G86" s="224"/>
      <c r="H86" s="821"/>
      <c r="I86" s="51"/>
      <c r="J86" s="108"/>
      <c r="K86" s="821"/>
      <c r="L86" s="105"/>
      <c r="M86" s="1191"/>
      <c r="N86" s="193"/>
      <c r="O86" s="66"/>
      <c r="P86" s="66"/>
      <c r="AH86" s="10">
        <v>1</v>
      </c>
    </row>
    <row r="87" spans="1:34" ht="19.899999999999999" customHeight="1">
      <c r="A87" s="33"/>
      <c r="B87" s="33"/>
      <c r="D87" s="27"/>
      <c r="E87" s="61" t="s">
        <v>108</v>
      </c>
      <c r="F87" s="143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7" s="1437"/>
      <c r="H87" s="1437"/>
      <c r="I87" s="1437"/>
      <c r="J87" s="1437"/>
      <c r="K87" s="1437"/>
      <c r="L87" s="1437"/>
      <c r="M87" s="111"/>
      <c r="N87" s="193"/>
      <c r="AH87" s="10">
        <v>19</v>
      </c>
    </row>
    <row r="88" spans="1:34" ht="35.65" customHeight="1">
      <c r="A88" s="33"/>
      <c r="B88" s="33"/>
      <c r="D88" s="27"/>
      <c r="E88" s="223"/>
      <c r="F88" s="38" t="s">
        <v>306</v>
      </c>
      <c r="G88" s="38" t="s">
        <v>306</v>
      </c>
      <c r="H88" s="1249" t="s">
        <v>306</v>
      </c>
      <c r="I88" s="1263"/>
      <c r="J88" s="38" t="s">
        <v>306</v>
      </c>
      <c r="K88" s="38" t="s">
        <v>306</v>
      </c>
      <c r="L88" s="1108" t="s">
        <v>1150</v>
      </c>
      <c r="M88" s="64" t="s">
        <v>1151</v>
      </c>
      <c r="N88" s="193"/>
      <c r="AH88" s="10">
        <v>34</v>
      </c>
    </row>
    <row r="89" spans="1:34" ht="19.899999999999999" customHeight="1">
      <c r="A89" s="33"/>
      <c r="B89" s="33"/>
      <c r="D89" s="27"/>
      <c r="E89" s="61" t="s">
        <v>88</v>
      </c>
      <c r="F89" s="1437" t="s">
        <v>1152</v>
      </c>
      <c r="G89" s="1437"/>
      <c r="H89" s="1437"/>
      <c r="I89" s="1437"/>
      <c r="J89" s="1437"/>
      <c r="K89" s="1437"/>
      <c r="L89" s="1437"/>
      <c r="M89" s="111"/>
      <c r="N89" s="193"/>
      <c r="AH89" s="10">
        <v>19</v>
      </c>
    </row>
    <row r="90" spans="1:34" s="10" customFormat="1" ht="60.75" hidden="1" customHeight="1">
      <c r="A90" s="33" t="s">
        <v>153</v>
      </c>
      <c r="B90" s="33" t="s">
        <v>154</v>
      </c>
      <c r="C90" s="3"/>
      <c r="D90" s="1438"/>
      <c r="E90" s="1239"/>
      <c r="F90" s="1377" t="str">
        <f>INDEX(PT_DIFFERENTIATION_VTAR,MATCH(A90,PT_DIFFERENTIATION_VTAR_ID,0))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0" s="1413" t="str">
        <f>INDEX(PT_DIFFERENTIATION_NTAR,MATCH(B90,PT_DIFFERENTIATION_NTAR_ID,0))</f>
        <v/>
      </c>
      <c r="H90" s="760"/>
      <c r="I90" s="947"/>
      <c r="J90" s="973"/>
      <c r="K90" s="363"/>
      <c r="L90" s="760" t="s">
        <v>306</v>
      </c>
      <c r="M90" s="11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0" s="193"/>
      <c r="O90" s="66"/>
      <c r="P90" s="66"/>
      <c r="AH90" s="10">
        <v>0</v>
      </c>
    </row>
    <row r="91" spans="1:34" s="10" customFormat="1" ht="18.75" hidden="1" customHeight="1">
      <c r="A91" s="33"/>
      <c r="B91" s="33"/>
      <c r="C91" s="3" t="s">
        <v>1144</v>
      </c>
      <c r="D91" s="1438"/>
      <c r="E91" s="1239"/>
      <c r="F91" s="1377"/>
      <c r="G91" s="1413"/>
      <c r="H91" s="821"/>
      <c r="I91" s="51" t="s">
        <v>1143</v>
      </c>
      <c r="J91" s="108"/>
      <c r="K91" s="821"/>
      <c r="L91" s="105"/>
      <c r="M91" s="1191"/>
      <c r="N91" s="193"/>
      <c r="O91" s="66"/>
      <c r="P91" s="66"/>
      <c r="AH91" s="10">
        <v>0</v>
      </c>
    </row>
    <row r="92" spans="1:34" s="10" customFormat="1" ht="0.75" hidden="1" customHeight="1">
      <c r="A92" s="33"/>
      <c r="B92" s="33"/>
      <c r="C92" s="3" t="s">
        <v>1153</v>
      </c>
      <c r="D92" s="1438"/>
      <c r="E92" s="1239"/>
      <c r="F92" s="1377"/>
      <c r="G92" s="224"/>
      <c r="H92" s="821"/>
      <c r="I92" s="51"/>
      <c r="J92" s="108"/>
      <c r="K92" s="821"/>
      <c r="L92" s="105"/>
      <c r="M92" s="1191"/>
      <c r="N92" s="193"/>
      <c r="O92" s="66"/>
      <c r="P92" s="66"/>
      <c r="AH92" s="10">
        <v>0</v>
      </c>
    </row>
    <row r="93" spans="1:34" s="10" customFormat="1" ht="45" hidden="1" customHeight="1">
      <c r="A93" s="33" t="s">
        <v>158</v>
      </c>
      <c r="B93" s="33" t="s">
        <v>159</v>
      </c>
      <c r="C93" s="3"/>
      <c r="D93" s="1438"/>
      <c r="E93" s="1239"/>
      <c r="F93" s="1377" t="str">
        <f>INDEX(PT_DIFFERENTIATION_VTAR,MATCH(A93,PT_DIFFERENTIATION_VTAR_ID,0))</f>
        <v/>
      </c>
      <c r="G93" s="1413" t="str">
        <f>INDEX(PT_DIFFERENTIATION_NTAR,MATCH(B93,PT_DIFFERENTIATION_NTAR_ID,0))</f>
        <v/>
      </c>
      <c r="H93" s="760"/>
      <c r="I93" s="947"/>
      <c r="J93" s="973"/>
      <c r="K93" s="363"/>
      <c r="L93" s="760" t="s">
        <v>306</v>
      </c>
      <c r="M93" s="1192"/>
      <c r="N93" s="193"/>
      <c r="O93" s="66"/>
      <c r="P93" s="66"/>
      <c r="AH93" s="10">
        <v>0</v>
      </c>
    </row>
    <row r="94" spans="1:34" s="10" customFormat="1" ht="18.75" hidden="1" customHeight="1">
      <c r="A94" s="33"/>
      <c r="B94" s="33"/>
      <c r="C94" s="3" t="s">
        <v>1144</v>
      </c>
      <c r="D94" s="1438"/>
      <c r="E94" s="1239"/>
      <c r="F94" s="1377"/>
      <c r="G94" s="1413"/>
      <c r="H94" s="821"/>
      <c r="I94" s="51" t="s">
        <v>1143</v>
      </c>
      <c r="J94" s="108"/>
      <c r="K94" s="821"/>
      <c r="L94" s="105"/>
      <c r="M94" s="1005"/>
      <c r="N94" s="193"/>
      <c r="O94" s="66"/>
      <c r="P94" s="66"/>
      <c r="AH94" s="10">
        <v>0</v>
      </c>
    </row>
    <row r="95" spans="1:34" s="10" customFormat="1" ht="0.75" hidden="1" customHeight="1">
      <c r="A95" s="33"/>
      <c r="B95" s="33"/>
      <c r="C95" s="3" t="s">
        <v>1153</v>
      </c>
      <c r="D95" s="1438"/>
      <c r="E95" s="1239"/>
      <c r="F95" s="1377"/>
      <c r="G95" s="224"/>
      <c r="H95" s="821"/>
      <c r="I95" s="51"/>
      <c r="J95" s="108"/>
      <c r="K95" s="821"/>
      <c r="L95" s="105"/>
      <c r="M95" s="198"/>
      <c r="N95" s="193"/>
      <c r="O95" s="66"/>
      <c r="P95" s="66"/>
      <c r="AH95" s="10">
        <v>0</v>
      </c>
    </row>
    <row r="96" spans="1:34" s="10" customFormat="1" ht="45" hidden="1" customHeight="1">
      <c r="A96" s="33" t="s">
        <v>165</v>
      </c>
      <c r="B96" s="33" t="s">
        <v>166</v>
      </c>
      <c r="C96" s="3"/>
      <c r="D96" s="1438"/>
      <c r="E96" s="1239"/>
      <c r="F96" s="1377" t="str">
        <f>INDEX(PT_DIFFERENTIATION_VTAR,MATCH(A96,PT_DIFFERENTIATION_VTAR_ID,0))</f>
        <v>Тарифы на теплоноситель, поставляемый теплоснабжающими организациями потребителям, другим теплоснабжающим организациям</v>
      </c>
      <c r="G96" s="1413" t="str">
        <f>INDEX(PT_DIFFERENTIATION_NTAR,MATCH(B96,PT_DIFFERENTIATION_NTAR_ID,0))</f>
        <v/>
      </c>
      <c r="H96" s="760"/>
      <c r="I96" s="947"/>
      <c r="J96" s="973"/>
      <c r="K96" s="363"/>
      <c r="L96" s="760" t="s">
        <v>306</v>
      </c>
      <c r="M96" s="198"/>
      <c r="N96" s="193"/>
      <c r="O96" s="66"/>
      <c r="P96" s="66"/>
      <c r="AH96" s="10">
        <v>0</v>
      </c>
    </row>
    <row r="97" spans="1:34" s="10" customFormat="1" ht="18.75" hidden="1" customHeight="1">
      <c r="A97" s="33"/>
      <c r="B97" s="33"/>
      <c r="C97" s="3" t="s">
        <v>1144</v>
      </c>
      <c r="D97" s="1438"/>
      <c r="E97" s="1239"/>
      <c r="F97" s="1377"/>
      <c r="G97" s="1413"/>
      <c r="H97" s="821"/>
      <c r="I97" s="51" t="s">
        <v>1143</v>
      </c>
      <c r="J97" s="108"/>
      <c r="K97" s="821"/>
      <c r="L97" s="105"/>
      <c r="M97" s="198"/>
      <c r="N97" s="193"/>
      <c r="O97" s="66"/>
      <c r="P97" s="66"/>
      <c r="AH97" s="10">
        <v>0</v>
      </c>
    </row>
    <row r="98" spans="1:34" s="10" customFormat="1" ht="0.75" hidden="1" customHeight="1">
      <c r="A98" s="33"/>
      <c r="B98" s="33"/>
      <c r="C98" s="3" t="s">
        <v>1153</v>
      </c>
      <c r="D98" s="1438"/>
      <c r="E98" s="1239"/>
      <c r="F98" s="1377"/>
      <c r="G98" s="224"/>
      <c r="H98" s="821"/>
      <c r="I98" s="51"/>
      <c r="J98" s="108"/>
      <c r="K98" s="821"/>
      <c r="L98" s="105"/>
      <c r="M98" s="198"/>
      <c r="N98" s="193"/>
      <c r="O98" s="66"/>
      <c r="P98" s="66"/>
      <c r="AH98" s="10">
        <v>0</v>
      </c>
    </row>
    <row r="99" spans="1:34" s="10" customFormat="1" ht="45" hidden="1" customHeight="1">
      <c r="A99" s="33" t="s">
        <v>171</v>
      </c>
      <c r="B99" s="33" t="s">
        <v>172</v>
      </c>
      <c r="C99" s="3"/>
      <c r="D99" s="1438"/>
      <c r="E99" s="1239"/>
      <c r="F99" s="1377" t="str">
        <f>INDEX(PT_DIFFERENTIATION_VTAR,MATCH(A99,PT_DIFFERENTIATION_VTAR_ID,0))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9" s="1413" t="str">
        <f>INDEX(PT_DIFFERENTIATION_NTAR,MATCH(B99,PT_DIFFERENTIATION_NTAR_ID,0))</f>
        <v/>
      </c>
      <c r="H99" s="760"/>
      <c r="I99" s="947"/>
      <c r="J99" s="973"/>
      <c r="K99" s="363"/>
      <c r="L99" s="760" t="s">
        <v>306</v>
      </c>
      <c r="M99" s="198"/>
      <c r="N99" s="193"/>
      <c r="O99" s="66"/>
      <c r="P99" s="66"/>
      <c r="AH99" s="10">
        <v>0</v>
      </c>
    </row>
    <row r="100" spans="1:34" s="10" customFormat="1" ht="18.75" hidden="1" customHeight="1">
      <c r="A100" s="33"/>
      <c r="B100" s="33"/>
      <c r="C100" s="3" t="s">
        <v>1144</v>
      </c>
      <c r="D100" s="1438"/>
      <c r="E100" s="1239"/>
      <c r="F100" s="1377"/>
      <c r="G100" s="1413"/>
      <c r="H100" s="821"/>
      <c r="I100" s="51" t="s">
        <v>1143</v>
      </c>
      <c r="J100" s="108"/>
      <c r="K100" s="821"/>
      <c r="L100" s="105"/>
      <c r="M100" s="198"/>
      <c r="N100" s="193"/>
      <c r="O100" s="66"/>
      <c r="P100" s="66"/>
      <c r="AH100" s="10">
        <v>0</v>
      </c>
    </row>
    <row r="101" spans="1:34" s="10" customFormat="1" ht="0.75" hidden="1" customHeight="1">
      <c r="A101" s="33"/>
      <c r="B101" s="33"/>
      <c r="C101" s="3" t="s">
        <v>1153</v>
      </c>
      <c r="D101" s="1438"/>
      <c r="E101" s="1239"/>
      <c r="F101" s="1377"/>
      <c r="G101" s="224"/>
      <c r="H101" s="821"/>
      <c r="I101" s="51"/>
      <c r="J101" s="108"/>
      <c r="K101" s="821"/>
      <c r="L101" s="105"/>
      <c r="M101" s="198"/>
      <c r="N101" s="193"/>
      <c r="O101" s="66"/>
      <c r="P101" s="66"/>
      <c r="AH101" s="10">
        <v>0</v>
      </c>
    </row>
    <row r="102" spans="1:34" s="10" customFormat="1" ht="18.75" hidden="1" customHeight="1">
      <c r="A102" s="33" t="s">
        <v>177</v>
      </c>
      <c r="B102" s="33" t="s">
        <v>178</v>
      </c>
      <c r="C102" s="3"/>
      <c r="D102" s="1438"/>
      <c r="E102" s="1239"/>
      <c r="F102" s="1377" t="str">
        <f>INDEX(PT_DIFFERENTIATION_VTAR,MATCH(A102,PT_DIFFERENTIATION_VTAR_ID,0))</f>
        <v>Тарифы на услуги по передаче тепловой энергии</v>
      </c>
      <c r="G102" s="1413" t="str">
        <f>INDEX(PT_DIFFERENTIATION_NTAR,MATCH(B102,PT_DIFFERENTIATION_NTAR_ID,0))</f>
        <v/>
      </c>
      <c r="H102" s="760"/>
      <c r="I102" s="947"/>
      <c r="J102" s="973"/>
      <c r="K102" s="363"/>
      <c r="L102" s="760" t="s">
        <v>306</v>
      </c>
      <c r="M102" s="198"/>
      <c r="N102" s="193"/>
      <c r="O102" s="66"/>
      <c r="P102" s="66"/>
      <c r="AH102" s="10">
        <v>0</v>
      </c>
    </row>
    <row r="103" spans="1:34" s="10" customFormat="1" ht="18.75" hidden="1" customHeight="1">
      <c r="A103" s="33"/>
      <c r="B103" s="33"/>
      <c r="C103" s="3" t="s">
        <v>1144</v>
      </c>
      <c r="D103" s="1438"/>
      <c r="E103" s="1239"/>
      <c r="F103" s="1377"/>
      <c r="G103" s="1413"/>
      <c r="H103" s="821"/>
      <c r="I103" s="51" t="s">
        <v>1143</v>
      </c>
      <c r="J103" s="108"/>
      <c r="K103" s="821"/>
      <c r="L103" s="105"/>
      <c r="M103" s="198"/>
      <c r="N103" s="193"/>
      <c r="O103" s="66"/>
      <c r="P103" s="66"/>
      <c r="AH103" s="10">
        <v>0</v>
      </c>
    </row>
    <row r="104" spans="1:34" s="10" customFormat="1" ht="0.75" hidden="1" customHeight="1">
      <c r="A104" s="33"/>
      <c r="B104" s="33"/>
      <c r="C104" s="3" t="s">
        <v>1153</v>
      </c>
      <c r="D104" s="1438"/>
      <c r="E104" s="1239"/>
      <c r="F104" s="1377"/>
      <c r="G104" s="224"/>
      <c r="H104" s="821"/>
      <c r="I104" s="51"/>
      <c r="J104" s="108"/>
      <c r="K104" s="821"/>
      <c r="L104" s="105"/>
      <c r="M104" s="198"/>
      <c r="N104" s="193"/>
      <c r="O104" s="66"/>
      <c r="P104" s="66"/>
      <c r="AH104" s="10">
        <v>0</v>
      </c>
    </row>
    <row r="105" spans="1:34" s="10" customFormat="1" ht="18.75" hidden="1" customHeight="1">
      <c r="A105" s="33" t="s">
        <v>183</v>
      </c>
      <c r="B105" s="33" t="s">
        <v>184</v>
      </c>
      <c r="C105" s="3"/>
      <c r="D105" s="1438"/>
      <c r="E105" s="1239"/>
      <c r="F105" s="1377" t="str">
        <f>INDEX(PT_DIFFERENTIATION_VTAR,MATCH(A105,PT_DIFFERENTIATION_VTAR_ID,0))</f>
        <v>Тарифы на услуги по передаче теплоносителя</v>
      </c>
      <c r="G105" s="1413" t="str">
        <f>INDEX(PT_DIFFERENTIATION_NTAR,MATCH(B105,PT_DIFFERENTIATION_NTAR_ID,0))</f>
        <v/>
      </c>
      <c r="H105" s="760"/>
      <c r="I105" s="947"/>
      <c r="J105" s="973"/>
      <c r="K105" s="363"/>
      <c r="L105" s="760" t="s">
        <v>306</v>
      </c>
      <c r="M105" s="198"/>
      <c r="N105" s="193"/>
      <c r="O105" s="66"/>
      <c r="P105" s="66"/>
      <c r="AH105" s="10">
        <v>0</v>
      </c>
    </row>
    <row r="106" spans="1:34" s="10" customFormat="1" ht="18.75" hidden="1" customHeight="1">
      <c r="A106" s="33"/>
      <c r="B106" s="33"/>
      <c r="C106" s="3" t="s">
        <v>1144</v>
      </c>
      <c r="D106" s="1438"/>
      <c r="E106" s="1239"/>
      <c r="F106" s="1377"/>
      <c r="G106" s="1413"/>
      <c r="H106" s="821"/>
      <c r="I106" s="51" t="s">
        <v>1143</v>
      </c>
      <c r="J106" s="108"/>
      <c r="K106" s="821"/>
      <c r="L106" s="105"/>
      <c r="M106" s="198"/>
      <c r="N106" s="193"/>
      <c r="O106" s="66"/>
      <c r="P106" s="66"/>
      <c r="AH106" s="10">
        <v>0</v>
      </c>
    </row>
    <row r="107" spans="1:34" s="10" customFormat="1" ht="0.75" hidden="1" customHeight="1">
      <c r="A107" s="33"/>
      <c r="B107" s="33"/>
      <c r="C107" s="3" t="s">
        <v>1153</v>
      </c>
      <c r="D107" s="1438"/>
      <c r="E107" s="1239"/>
      <c r="F107" s="1377"/>
      <c r="G107" s="224"/>
      <c r="H107" s="821"/>
      <c r="I107" s="51"/>
      <c r="J107" s="108"/>
      <c r="K107" s="821"/>
      <c r="L107" s="105"/>
      <c r="M107" s="198"/>
      <c r="N107" s="193"/>
      <c r="O107" s="66"/>
      <c r="P107" s="66"/>
      <c r="AH107" s="10">
        <v>0</v>
      </c>
    </row>
    <row r="108" spans="1:34" s="10" customFormat="1" ht="18.75" hidden="1" customHeight="1">
      <c r="A108" s="33" t="s">
        <v>189</v>
      </c>
      <c r="B108" s="33" t="s">
        <v>190</v>
      </c>
      <c r="C108" s="3"/>
      <c r="D108" s="1438"/>
      <c r="E108" s="1239"/>
      <c r="F108" s="1377" t="str">
        <f>INDEX(PT_DIFFERENTIATION_VTAR,MATCH(A108,PT_DIFFERENTIATION_VTAR_ID,0))</f>
        <v>Плата за услуги по поддержанию резервной тепловой мощности при отсутствии потребления тепловой энергии</v>
      </c>
      <c r="G108" s="1413" t="str">
        <f>INDEX(PT_DIFFERENTIATION_NTAR,MATCH(B108,PT_DIFFERENTIATION_NTAR_ID,0))</f>
        <v/>
      </c>
      <c r="H108" s="760"/>
      <c r="I108" s="947"/>
      <c r="J108" s="973"/>
      <c r="K108" s="363"/>
      <c r="L108" s="760" t="s">
        <v>306</v>
      </c>
      <c r="M108" s="198"/>
      <c r="N108" s="193"/>
      <c r="O108" s="66"/>
      <c r="P108" s="66"/>
      <c r="AH108" s="10">
        <v>0</v>
      </c>
    </row>
    <row r="109" spans="1:34" s="10" customFormat="1" ht="18.75" hidden="1" customHeight="1">
      <c r="A109" s="33"/>
      <c r="B109" s="33"/>
      <c r="C109" s="3" t="s">
        <v>1144</v>
      </c>
      <c r="D109" s="1438"/>
      <c r="E109" s="1239"/>
      <c r="F109" s="1377"/>
      <c r="G109" s="1413"/>
      <c r="H109" s="821"/>
      <c r="I109" s="51" t="s">
        <v>1143</v>
      </c>
      <c r="J109" s="108"/>
      <c r="K109" s="821"/>
      <c r="L109" s="105"/>
      <c r="M109" s="198"/>
      <c r="N109" s="193"/>
      <c r="O109" s="66"/>
      <c r="P109" s="66"/>
      <c r="AH109" s="10">
        <v>0</v>
      </c>
    </row>
    <row r="110" spans="1:34" s="10" customFormat="1" ht="0.75" hidden="1" customHeight="1">
      <c r="A110" s="33"/>
      <c r="B110" s="33"/>
      <c r="C110" s="3" t="s">
        <v>1153</v>
      </c>
      <c r="D110" s="1438"/>
      <c r="E110" s="1239"/>
      <c r="F110" s="1377"/>
      <c r="G110" s="224"/>
      <c r="H110" s="821"/>
      <c r="I110" s="51"/>
      <c r="J110" s="108"/>
      <c r="K110" s="821"/>
      <c r="L110" s="105"/>
      <c r="M110" s="198"/>
      <c r="N110" s="193"/>
      <c r="O110" s="66"/>
      <c r="P110" s="66"/>
      <c r="AH110" s="10">
        <v>0</v>
      </c>
    </row>
    <row r="111" spans="1:34" s="10" customFormat="1" ht="18.75" hidden="1" customHeight="1">
      <c r="A111" s="33" t="s">
        <v>195</v>
      </c>
      <c r="B111" s="33" t="s">
        <v>196</v>
      </c>
      <c r="C111" s="3"/>
      <c r="D111" s="1438"/>
      <c r="E111" s="1239"/>
      <c r="F111" s="1377" t="str">
        <f>INDEX(PT_DIFFERENTIATION_VTAR,MATCH(A111,PT_DIFFERENTIATION_VTAR_ID,0))</f>
        <v>Плата за подключение (технологическое присоединение) к системе теплоснабжения</v>
      </c>
      <c r="G111" s="1413" t="str">
        <f>INDEX(PT_DIFFERENTIATION_NTAR,MATCH(B111,PT_DIFFERENTIATION_NTAR_ID,0))</f>
        <v/>
      </c>
      <c r="H111" s="760"/>
      <c r="I111" s="947"/>
      <c r="J111" s="973"/>
      <c r="K111" s="363"/>
      <c r="L111" s="760" t="s">
        <v>306</v>
      </c>
      <c r="M111" s="198"/>
      <c r="N111" s="193"/>
      <c r="O111" s="66"/>
      <c r="P111" s="66"/>
      <c r="AH111" s="10">
        <v>0</v>
      </c>
    </row>
    <row r="112" spans="1:34" s="10" customFormat="1" ht="18.75" hidden="1" customHeight="1">
      <c r="A112" s="33"/>
      <c r="B112" s="33"/>
      <c r="C112" s="3" t="s">
        <v>1144</v>
      </c>
      <c r="D112" s="1438"/>
      <c r="E112" s="1239"/>
      <c r="F112" s="1377"/>
      <c r="G112" s="1413"/>
      <c r="H112" s="821"/>
      <c r="I112" s="51" t="s">
        <v>1143</v>
      </c>
      <c r="J112" s="108"/>
      <c r="K112" s="821"/>
      <c r="L112" s="105"/>
      <c r="M112" s="198"/>
      <c r="N112" s="193"/>
      <c r="O112" s="66"/>
      <c r="P112" s="66"/>
      <c r="AH112" s="10">
        <v>0</v>
      </c>
    </row>
    <row r="113" spans="1:34" s="10" customFormat="1" ht="0.75" hidden="1" customHeight="1">
      <c r="A113" s="33"/>
      <c r="B113" s="33"/>
      <c r="C113" s="3" t="s">
        <v>1153</v>
      </c>
      <c r="D113" s="1438"/>
      <c r="E113" s="1239"/>
      <c r="F113" s="1377"/>
      <c r="G113" s="224"/>
      <c r="H113" s="821"/>
      <c r="I113" s="51"/>
      <c r="J113" s="108"/>
      <c r="K113" s="821"/>
      <c r="L113" s="105"/>
      <c r="M113" s="198"/>
      <c r="N113" s="193"/>
      <c r="O113" s="66"/>
      <c r="P113" s="66"/>
      <c r="AH113" s="10">
        <v>0</v>
      </c>
    </row>
    <row r="114" spans="1:34" s="10" customFormat="1" ht="18.75" hidden="1" customHeight="1">
      <c r="A114" s="33" t="s">
        <v>201</v>
      </c>
      <c r="B114" s="33" t="s">
        <v>202</v>
      </c>
      <c r="C114" s="3"/>
      <c r="D114" s="1438"/>
      <c r="E114" s="1239"/>
      <c r="F114" s="1377" t="str">
        <f>INDEX(PT_DIFFERENTIATION_VTAR,MATCH(A114,PT_DIFFERENTIATION_VTAR_ID,0))</f>
        <v>Плата за подключение (технологическое присоединение) к системе теплоснабжения (индивидуальная)</v>
      </c>
      <c r="G114" s="1413" t="str">
        <f>INDEX(PT_DIFFERENTIATION_NTAR,MATCH(B114,PT_DIFFERENTIATION_NTAR_ID,0))</f>
        <v/>
      </c>
      <c r="H114" s="760"/>
      <c r="I114" s="947"/>
      <c r="J114" s="973"/>
      <c r="K114" s="363"/>
      <c r="L114" s="760" t="s">
        <v>306</v>
      </c>
      <c r="M114" s="198"/>
      <c r="N114" s="193"/>
      <c r="O114" s="66"/>
      <c r="P114" s="66"/>
      <c r="AH114" s="10">
        <v>0</v>
      </c>
    </row>
    <row r="115" spans="1:34" s="10" customFormat="1" ht="18.75" hidden="1" customHeight="1">
      <c r="A115" s="33"/>
      <c r="B115" s="33"/>
      <c r="C115" s="3" t="s">
        <v>1144</v>
      </c>
      <c r="D115" s="1438"/>
      <c r="E115" s="1239"/>
      <c r="F115" s="1377"/>
      <c r="G115" s="1413"/>
      <c r="H115" s="821"/>
      <c r="I115" s="51" t="s">
        <v>1143</v>
      </c>
      <c r="J115" s="108"/>
      <c r="K115" s="821"/>
      <c r="L115" s="105"/>
      <c r="M115" s="198"/>
      <c r="N115" s="193"/>
      <c r="O115" s="66"/>
      <c r="P115" s="66"/>
      <c r="AH115" s="10">
        <v>0</v>
      </c>
    </row>
    <row r="116" spans="1:34" s="10" customFormat="1" ht="0.75" hidden="1" customHeight="1">
      <c r="A116" s="33"/>
      <c r="B116" s="33"/>
      <c r="C116" s="3" t="s">
        <v>1153</v>
      </c>
      <c r="D116" s="1438"/>
      <c r="E116" s="1239"/>
      <c r="F116" s="1377"/>
      <c r="G116" s="224"/>
      <c r="H116" s="821"/>
      <c r="I116" s="51"/>
      <c r="J116" s="108"/>
      <c r="K116" s="821"/>
      <c r="L116" s="105"/>
      <c r="M116" s="198"/>
      <c r="N116" s="193"/>
      <c r="O116" s="66"/>
      <c r="P116" s="66"/>
      <c r="AH116" s="10">
        <v>0</v>
      </c>
    </row>
    <row r="117" spans="1:34" s="10" customFormat="1" ht="18.75" hidden="1" customHeight="1">
      <c r="A117" s="33" t="s">
        <v>221</v>
      </c>
      <c r="B117" s="33" t="s">
        <v>222</v>
      </c>
      <c r="C117" s="3"/>
      <c r="D117" s="1438"/>
      <c r="E117" s="1239"/>
      <c r="F117" s="1377" t="str">
        <f>INDEX(PT_DIFFERENTIATION_VTAR,MATCH(A117,PT_DIFFERENTIATION_VTAR_ID,0))</f>
        <v>Тариф на питьевую воду (питьевое водоснабжение)</v>
      </c>
      <c r="G117" s="1413" t="str">
        <f>INDEX(PT_DIFFERENTIATION_NTAR,MATCH(B117,PT_DIFFERENTIATION_NTAR_ID,0))</f>
        <v/>
      </c>
      <c r="H117" s="760"/>
      <c r="I117" s="947"/>
      <c r="J117" s="973"/>
      <c r="K117" s="363"/>
      <c r="L117" s="760" t="s">
        <v>306</v>
      </c>
      <c r="M117" s="198"/>
      <c r="N117" s="193"/>
      <c r="O117" s="66"/>
      <c r="P117" s="66"/>
      <c r="AH117" s="10">
        <v>0</v>
      </c>
    </row>
    <row r="118" spans="1:34" s="10" customFormat="1" ht="18.75" hidden="1" customHeight="1">
      <c r="A118" s="33"/>
      <c r="B118" s="33"/>
      <c r="C118" s="3" t="s">
        <v>1144</v>
      </c>
      <c r="D118" s="1438"/>
      <c r="E118" s="1239"/>
      <c r="F118" s="1377"/>
      <c r="G118" s="1413"/>
      <c r="H118" s="821"/>
      <c r="I118" s="51" t="s">
        <v>1143</v>
      </c>
      <c r="J118" s="108"/>
      <c r="K118" s="821"/>
      <c r="L118" s="105"/>
      <c r="M118" s="198"/>
      <c r="N118" s="193"/>
      <c r="O118" s="66"/>
      <c r="P118" s="66"/>
      <c r="AH118" s="10">
        <v>0</v>
      </c>
    </row>
    <row r="119" spans="1:34" s="10" customFormat="1" ht="0.75" hidden="1" customHeight="1">
      <c r="A119" s="33"/>
      <c r="B119" s="33"/>
      <c r="C119" s="3" t="s">
        <v>1153</v>
      </c>
      <c r="D119" s="1438"/>
      <c r="E119" s="1239"/>
      <c r="F119" s="1377"/>
      <c r="G119" s="224"/>
      <c r="H119" s="821"/>
      <c r="I119" s="51"/>
      <c r="J119" s="108"/>
      <c r="K119" s="821"/>
      <c r="L119" s="105"/>
      <c r="M119" s="198"/>
      <c r="N119" s="193"/>
      <c r="O119" s="66"/>
      <c r="P119" s="66"/>
      <c r="AH119" s="10">
        <v>0</v>
      </c>
    </row>
    <row r="120" spans="1:34" s="10" customFormat="1" ht="18.75" customHeight="1">
      <c r="A120" s="33" t="s">
        <v>227</v>
      </c>
      <c r="B120" s="33" t="s">
        <v>228</v>
      </c>
      <c r="C120" s="3"/>
      <c r="D120" s="1438"/>
      <c r="E120" s="1239"/>
      <c r="F120" s="1377" t="str">
        <f>INDEX(PT_DIFFERENTIATION_VTAR,MATCH(A120,PT_DIFFERENTIATION_VTAR_ID,0))</f>
        <v>Тариф на техническую воду</v>
      </c>
      <c r="G120" s="1413" t="str">
        <f>INDEX(PT_DIFFERENTIATION_NTAR,MATCH(B120,PT_DIFFERENTIATION_NTAR_ID,0))</f>
        <v>Тариф на техническую воду</v>
      </c>
      <c r="H120" s="760"/>
      <c r="I120" s="947">
        <v>46023</v>
      </c>
      <c r="J120" s="973">
        <v>46387</v>
      </c>
      <c r="K120" s="363">
        <v>377576</v>
      </c>
      <c r="L120" s="760" t="s">
        <v>306</v>
      </c>
      <c r="M120" s="198"/>
      <c r="N120" s="193"/>
      <c r="O120" s="66"/>
      <c r="P120" s="66"/>
      <c r="AH120" s="10">
        <v>0</v>
      </c>
    </row>
    <row r="121" spans="1:34" s="10" customFormat="1" ht="13.5" customHeight="1">
      <c r="A121" s="33"/>
      <c r="B121" s="33"/>
      <c r="C121" s="3"/>
      <c r="D121" s="1447"/>
      <c r="E121" s="1446"/>
      <c r="F121" s="1446"/>
      <c r="G121" s="1446"/>
      <c r="H121" s="38" t="s">
        <v>493</v>
      </c>
      <c r="I121" s="947">
        <v>46388</v>
      </c>
      <c r="J121" s="973">
        <v>46752</v>
      </c>
      <c r="K121" s="363">
        <v>392679</v>
      </c>
      <c r="L121" s="760" t="s">
        <v>306</v>
      </c>
      <c r="M121" s="1013"/>
      <c r="N121" s="193"/>
      <c r="O121" s="66"/>
      <c r="P121" s="66"/>
      <c r="AH121" s="10">
        <v>0</v>
      </c>
    </row>
    <row r="122" spans="1:34" s="10" customFormat="1" ht="13.5" customHeight="1">
      <c r="A122" s="33"/>
      <c r="B122" s="33"/>
      <c r="C122" s="3"/>
      <c r="D122" s="1447"/>
      <c r="E122" s="1446"/>
      <c r="F122" s="1446"/>
      <c r="G122" s="1446"/>
      <c r="H122" s="38" t="s">
        <v>493</v>
      </c>
      <c r="I122" s="947">
        <v>46753</v>
      </c>
      <c r="J122" s="973">
        <v>47118</v>
      </c>
      <c r="K122" s="363">
        <v>408386</v>
      </c>
      <c r="L122" s="760" t="s">
        <v>306</v>
      </c>
      <c r="M122" s="1013"/>
      <c r="N122" s="193"/>
      <c r="O122" s="66"/>
      <c r="P122" s="66"/>
      <c r="AH122" s="10">
        <v>0</v>
      </c>
    </row>
    <row r="123" spans="1:34" s="10" customFormat="1" ht="13.5" customHeight="1">
      <c r="A123" s="33"/>
      <c r="B123" s="33"/>
      <c r="C123" s="3"/>
      <c r="D123" s="1447"/>
      <c r="E123" s="1446"/>
      <c r="F123" s="1446"/>
      <c r="G123" s="1446"/>
      <c r="H123" s="38" t="s">
        <v>493</v>
      </c>
      <c r="I123" s="947">
        <v>47119</v>
      </c>
      <c r="J123" s="973">
        <v>47483</v>
      </c>
      <c r="K123" s="363">
        <v>424722</v>
      </c>
      <c r="L123" s="760" t="s">
        <v>306</v>
      </c>
      <c r="M123" s="1013"/>
      <c r="N123" s="193"/>
      <c r="O123" s="66"/>
      <c r="P123" s="66"/>
      <c r="AH123" s="10">
        <v>0</v>
      </c>
    </row>
    <row r="124" spans="1:34" s="10" customFormat="1" ht="18.75" customHeight="1">
      <c r="A124" s="33"/>
      <c r="B124" s="33"/>
      <c r="C124" s="3" t="s">
        <v>1144</v>
      </c>
      <c r="D124" s="1438"/>
      <c r="E124" s="1239"/>
      <c r="F124" s="1377"/>
      <c r="G124" s="1413"/>
      <c r="H124" s="821"/>
      <c r="I124" s="51" t="s">
        <v>1143</v>
      </c>
      <c r="J124" s="108"/>
      <c r="K124" s="821"/>
      <c r="L124" s="105"/>
      <c r="M124" s="198"/>
      <c r="N124" s="193"/>
      <c r="O124" s="66"/>
      <c r="P124" s="66"/>
      <c r="AH124" s="10">
        <v>0</v>
      </c>
    </row>
    <row r="125" spans="1:34" s="10" customFormat="1" ht="0.75" customHeight="1">
      <c r="A125" s="33"/>
      <c r="B125" s="33"/>
      <c r="C125" s="3" t="s">
        <v>1153</v>
      </c>
      <c r="D125" s="1438"/>
      <c r="E125" s="1239"/>
      <c r="F125" s="1377"/>
      <c r="G125" s="224"/>
      <c r="H125" s="821"/>
      <c r="I125" s="51"/>
      <c r="J125" s="108"/>
      <c r="K125" s="821"/>
      <c r="L125" s="105"/>
      <c r="M125" s="198"/>
      <c r="N125" s="193"/>
      <c r="O125" s="66"/>
      <c r="P125" s="66"/>
      <c r="AH125" s="10">
        <v>0</v>
      </c>
    </row>
    <row r="126" spans="1:34" s="10" customFormat="1" ht="18.75" hidden="1" customHeight="1">
      <c r="A126" s="33" t="s">
        <v>235</v>
      </c>
      <c r="B126" s="33" t="s">
        <v>236</v>
      </c>
      <c r="C126" s="3"/>
      <c r="D126" s="1438"/>
      <c r="E126" s="1239"/>
      <c r="F126" s="1377" t="str">
        <f>INDEX(PT_DIFFERENTIATION_VTAR,MATCH(A126,PT_DIFFERENTIATION_VTAR_ID,0))</f>
        <v>Тариф на транспортировку воды</v>
      </c>
      <c r="G126" s="1413" t="str">
        <f>INDEX(PT_DIFFERENTIATION_NTAR,MATCH(B126,PT_DIFFERENTIATION_NTAR_ID,0))</f>
        <v/>
      </c>
      <c r="H126" s="760"/>
      <c r="I126" s="947"/>
      <c r="J126" s="973"/>
      <c r="K126" s="363"/>
      <c r="L126" s="760" t="s">
        <v>306</v>
      </c>
      <c r="M126" s="198"/>
      <c r="N126" s="193"/>
      <c r="O126" s="66"/>
      <c r="P126" s="66"/>
      <c r="AH126" s="10">
        <v>0</v>
      </c>
    </row>
    <row r="127" spans="1:34" s="10" customFormat="1" ht="18.75" hidden="1" customHeight="1">
      <c r="A127" s="33"/>
      <c r="B127" s="33"/>
      <c r="C127" s="3" t="s">
        <v>1144</v>
      </c>
      <c r="D127" s="1438"/>
      <c r="E127" s="1239"/>
      <c r="F127" s="1377"/>
      <c r="G127" s="1413"/>
      <c r="H127" s="821"/>
      <c r="I127" s="51" t="s">
        <v>1143</v>
      </c>
      <c r="J127" s="108"/>
      <c r="K127" s="821"/>
      <c r="L127" s="105"/>
      <c r="M127" s="198"/>
      <c r="N127" s="193"/>
      <c r="O127" s="66"/>
      <c r="P127" s="66"/>
      <c r="AH127" s="10">
        <v>0</v>
      </c>
    </row>
    <row r="128" spans="1:34" s="10" customFormat="1" ht="0.75" hidden="1" customHeight="1">
      <c r="A128" s="33"/>
      <c r="B128" s="33"/>
      <c r="C128" s="3" t="s">
        <v>1153</v>
      </c>
      <c r="D128" s="1438"/>
      <c r="E128" s="1239"/>
      <c r="F128" s="1377"/>
      <c r="G128" s="224"/>
      <c r="H128" s="821"/>
      <c r="I128" s="51"/>
      <c r="J128" s="108"/>
      <c r="K128" s="821"/>
      <c r="L128" s="105"/>
      <c r="M128" s="198"/>
      <c r="N128" s="193"/>
      <c r="O128" s="66"/>
      <c r="P128" s="66"/>
      <c r="AH128" s="10">
        <v>0</v>
      </c>
    </row>
    <row r="129" spans="1:34" s="10" customFormat="1" ht="18.75" hidden="1" customHeight="1">
      <c r="A129" s="33" t="s">
        <v>240</v>
      </c>
      <c r="B129" s="33" t="s">
        <v>241</v>
      </c>
      <c r="C129" s="3"/>
      <c r="D129" s="1438"/>
      <c r="E129" s="1239"/>
      <c r="F129" s="1377" t="str">
        <f>INDEX(PT_DIFFERENTIATION_VTAR,MATCH(A129,PT_DIFFERENTIATION_VTAR_ID,0))</f>
        <v>Тариф на подвоз воды</v>
      </c>
      <c r="G129" s="1413" t="str">
        <f>INDEX(PT_DIFFERENTIATION_NTAR,MATCH(B129,PT_DIFFERENTIATION_NTAR_ID,0))</f>
        <v/>
      </c>
      <c r="H129" s="760"/>
      <c r="I129" s="947"/>
      <c r="J129" s="973"/>
      <c r="K129" s="363"/>
      <c r="L129" s="760" t="s">
        <v>306</v>
      </c>
      <c r="M129" s="198"/>
      <c r="N129" s="193"/>
      <c r="O129" s="66"/>
      <c r="P129" s="66"/>
      <c r="AH129" s="10">
        <v>0</v>
      </c>
    </row>
    <row r="130" spans="1:34" s="10" customFormat="1" ht="18.75" hidden="1" customHeight="1">
      <c r="A130" s="33"/>
      <c r="B130" s="33"/>
      <c r="C130" s="3" t="s">
        <v>1144</v>
      </c>
      <c r="D130" s="1438"/>
      <c r="E130" s="1239"/>
      <c r="F130" s="1377"/>
      <c r="G130" s="1413"/>
      <c r="H130" s="821"/>
      <c r="I130" s="51" t="s">
        <v>1143</v>
      </c>
      <c r="J130" s="108"/>
      <c r="K130" s="821"/>
      <c r="L130" s="105"/>
      <c r="M130" s="198"/>
      <c r="N130" s="193"/>
      <c r="O130" s="66"/>
      <c r="P130" s="66"/>
      <c r="AH130" s="10">
        <v>0</v>
      </c>
    </row>
    <row r="131" spans="1:34" s="10" customFormat="1" ht="0.75" hidden="1" customHeight="1">
      <c r="A131" s="33"/>
      <c r="B131" s="33"/>
      <c r="C131" s="3" t="s">
        <v>1153</v>
      </c>
      <c r="D131" s="1438"/>
      <c r="E131" s="1239"/>
      <c r="F131" s="1377"/>
      <c r="G131" s="224"/>
      <c r="H131" s="821"/>
      <c r="I131" s="51"/>
      <c r="J131" s="108"/>
      <c r="K131" s="821"/>
      <c r="L131" s="105"/>
      <c r="M131" s="198"/>
      <c r="N131" s="193"/>
      <c r="O131" s="66"/>
      <c r="P131" s="66"/>
      <c r="AH131" s="10">
        <v>0</v>
      </c>
    </row>
    <row r="132" spans="1:34" s="10" customFormat="1" ht="18.75" hidden="1" customHeight="1">
      <c r="A132" s="33" t="s">
        <v>245</v>
      </c>
      <c r="B132" s="33" t="s">
        <v>246</v>
      </c>
      <c r="C132" s="3"/>
      <c r="D132" s="1438"/>
      <c r="E132" s="1239"/>
      <c r="F132" s="1377" t="str">
        <f>INDEX(PT_DIFFERENTIATION_VTAR,MATCH(A132,PT_DIFFERENTIATION_VTAR_ID,0))</f>
        <v>Тариф на подключение (технологическое присоединение) к централизованной системе холодного водоснабжения</v>
      </c>
      <c r="G132" s="1413" t="str">
        <f>INDEX(PT_DIFFERENTIATION_NTAR,MATCH(B132,PT_DIFFERENTIATION_NTAR_ID,0))</f>
        <v/>
      </c>
      <c r="H132" s="760"/>
      <c r="I132" s="947"/>
      <c r="J132" s="973"/>
      <c r="K132" s="363"/>
      <c r="L132" s="760" t="s">
        <v>306</v>
      </c>
      <c r="M132" s="198"/>
      <c r="N132" s="193"/>
      <c r="O132" s="66"/>
      <c r="P132" s="66"/>
      <c r="AH132" s="10">
        <v>0</v>
      </c>
    </row>
    <row r="133" spans="1:34" s="10" customFormat="1" ht="18.75" hidden="1" customHeight="1">
      <c r="A133" s="33"/>
      <c r="B133" s="33"/>
      <c r="C133" s="3" t="s">
        <v>1144</v>
      </c>
      <c r="D133" s="1438"/>
      <c r="E133" s="1239"/>
      <c r="F133" s="1377"/>
      <c r="G133" s="1413"/>
      <c r="H133" s="821"/>
      <c r="I133" s="51" t="s">
        <v>1143</v>
      </c>
      <c r="J133" s="108"/>
      <c r="K133" s="821"/>
      <c r="L133" s="105"/>
      <c r="M133" s="198"/>
      <c r="N133" s="193"/>
      <c r="O133" s="66"/>
      <c r="P133" s="66"/>
      <c r="AH133" s="10">
        <v>0</v>
      </c>
    </row>
    <row r="134" spans="1:34" s="10" customFormat="1" ht="0.75" hidden="1" customHeight="1">
      <c r="A134" s="33"/>
      <c r="B134" s="33"/>
      <c r="C134" s="3" t="s">
        <v>1153</v>
      </c>
      <c r="D134" s="1438"/>
      <c r="E134" s="1239"/>
      <c r="F134" s="1377"/>
      <c r="G134" s="224"/>
      <c r="H134" s="821"/>
      <c r="I134" s="51"/>
      <c r="J134" s="108"/>
      <c r="K134" s="821"/>
      <c r="L134" s="105"/>
      <c r="M134" s="198"/>
      <c r="N134" s="193"/>
      <c r="O134" s="66"/>
      <c r="P134" s="66"/>
      <c r="AH134" s="10">
        <v>0</v>
      </c>
    </row>
    <row r="135" spans="1:34" s="10" customFormat="1" ht="18.75" hidden="1" customHeight="1">
      <c r="A135" s="33" t="s">
        <v>250</v>
      </c>
      <c r="B135" s="33" t="s">
        <v>251</v>
      </c>
      <c r="C135" s="3"/>
      <c r="D135" s="1438"/>
      <c r="E135" s="1239"/>
      <c r="F135" s="1377" t="str">
        <f>INDEX(PT_DIFFERENTIATION_VTAR,MATCH(A135,PT_DIFFERENTIATION_VTAR_ID,0))</f>
        <v>Тариф на горячую воду (горячее водоснабжение)</v>
      </c>
      <c r="G135" s="1413" t="str">
        <f>INDEX(PT_DIFFERENTIATION_NTAR,MATCH(B135,PT_DIFFERENTIATION_NTAR_ID,0))</f>
        <v/>
      </c>
      <c r="H135" s="760"/>
      <c r="I135" s="947"/>
      <c r="J135" s="973"/>
      <c r="K135" s="363"/>
      <c r="L135" s="760" t="s">
        <v>306</v>
      </c>
      <c r="M135" s="198"/>
      <c r="N135" s="193"/>
      <c r="O135" s="66"/>
      <c r="P135" s="66"/>
      <c r="AH135" s="10">
        <v>0</v>
      </c>
    </row>
    <row r="136" spans="1:34" s="10" customFormat="1" ht="18.75" hidden="1" customHeight="1">
      <c r="A136" s="33"/>
      <c r="B136" s="33"/>
      <c r="C136" s="3" t="s">
        <v>1144</v>
      </c>
      <c r="D136" s="1438"/>
      <c r="E136" s="1239"/>
      <c r="F136" s="1377"/>
      <c r="G136" s="1413"/>
      <c r="H136" s="821"/>
      <c r="I136" s="51" t="s">
        <v>1143</v>
      </c>
      <c r="J136" s="108"/>
      <c r="K136" s="821"/>
      <c r="L136" s="105"/>
      <c r="M136" s="198"/>
      <c r="N136" s="193"/>
      <c r="O136" s="66"/>
      <c r="P136" s="66"/>
      <c r="AH136" s="10">
        <v>0</v>
      </c>
    </row>
    <row r="137" spans="1:34" s="10" customFormat="1" ht="0.75" hidden="1" customHeight="1">
      <c r="A137" s="33"/>
      <c r="B137" s="33"/>
      <c r="C137" s="3" t="s">
        <v>1153</v>
      </c>
      <c r="D137" s="1438"/>
      <c r="E137" s="1239"/>
      <c r="F137" s="1377"/>
      <c r="G137" s="224"/>
      <c r="H137" s="821"/>
      <c r="I137" s="51"/>
      <c r="J137" s="108"/>
      <c r="K137" s="821"/>
      <c r="L137" s="105"/>
      <c r="M137" s="198"/>
      <c r="N137" s="193"/>
      <c r="O137" s="66"/>
      <c r="P137" s="66"/>
      <c r="AH137" s="10">
        <v>0</v>
      </c>
    </row>
    <row r="138" spans="1:34" s="10" customFormat="1" ht="18.75" hidden="1" customHeight="1">
      <c r="A138" s="33" t="s">
        <v>255</v>
      </c>
      <c r="B138" s="33" t="s">
        <v>256</v>
      </c>
      <c r="C138" s="3"/>
      <c r="D138" s="1438"/>
      <c r="E138" s="1239"/>
      <c r="F138" s="1377" t="str">
        <f>INDEX(PT_DIFFERENTIATION_VTAR,MATCH(A138,PT_DIFFERENTIATION_VTAR_ID,0))</f>
        <v>Тариф на транспортировку горячей воды</v>
      </c>
      <c r="G138" s="1413" t="str">
        <f>INDEX(PT_DIFFERENTIATION_NTAR,MATCH(B138,PT_DIFFERENTIATION_NTAR_ID,0))</f>
        <v/>
      </c>
      <c r="H138" s="760"/>
      <c r="I138" s="947"/>
      <c r="J138" s="973"/>
      <c r="K138" s="363"/>
      <c r="L138" s="760" t="s">
        <v>306</v>
      </c>
      <c r="M138" s="198"/>
      <c r="N138" s="193"/>
      <c r="O138" s="66"/>
      <c r="P138" s="66"/>
      <c r="AH138" s="10">
        <v>0</v>
      </c>
    </row>
    <row r="139" spans="1:34" s="10" customFormat="1" ht="18.75" hidden="1" customHeight="1">
      <c r="A139" s="33"/>
      <c r="B139" s="33"/>
      <c r="C139" s="3" t="s">
        <v>1144</v>
      </c>
      <c r="D139" s="1438"/>
      <c r="E139" s="1239"/>
      <c r="F139" s="1377"/>
      <c r="G139" s="1413"/>
      <c r="H139" s="821"/>
      <c r="I139" s="51" t="s">
        <v>1143</v>
      </c>
      <c r="J139" s="108"/>
      <c r="K139" s="821"/>
      <c r="L139" s="105"/>
      <c r="M139" s="198"/>
      <c r="N139" s="193"/>
      <c r="O139" s="66"/>
      <c r="P139" s="66"/>
      <c r="AH139" s="10">
        <v>0</v>
      </c>
    </row>
    <row r="140" spans="1:34" s="10" customFormat="1" ht="0.75" hidden="1" customHeight="1">
      <c r="A140" s="33"/>
      <c r="B140" s="33"/>
      <c r="C140" s="3" t="s">
        <v>1153</v>
      </c>
      <c r="D140" s="1438"/>
      <c r="E140" s="1239"/>
      <c r="F140" s="1377"/>
      <c r="G140" s="224"/>
      <c r="H140" s="821"/>
      <c r="I140" s="51"/>
      <c r="J140" s="108"/>
      <c r="K140" s="821"/>
      <c r="L140" s="105"/>
      <c r="M140" s="198"/>
      <c r="N140" s="193"/>
      <c r="O140" s="66"/>
      <c r="P140" s="66"/>
      <c r="AH140" s="10">
        <v>0</v>
      </c>
    </row>
    <row r="141" spans="1:34" s="10" customFormat="1" ht="18.75" hidden="1" customHeight="1">
      <c r="A141" s="33" t="s">
        <v>260</v>
      </c>
      <c r="B141" s="33" t="s">
        <v>261</v>
      </c>
      <c r="C141" s="3"/>
      <c r="D141" s="1438"/>
      <c r="E141" s="1239"/>
      <c r="F141" s="1377" t="str">
        <f>INDEX(PT_DIFFERENTIATION_VTAR,MATCH(A141,PT_DIFFERENTIATION_VTAR_ID,0))</f>
        <v>Тариф на подключение (технологическое присоединение) к централизованной системе горячего водоснабжения</v>
      </c>
      <c r="G141" s="1413" t="str">
        <f>INDEX(PT_DIFFERENTIATION_NTAR,MATCH(B141,PT_DIFFERENTIATION_NTAR_ID,0))</f>
        <v/>
      </c>
      <c r="H141" s="760"/>
      <c r="I141" s="947"/>
      <c r="J141" s="973"/>
      <c r="K141" s="363"/>
      <c r="L141" s="760" t="s">
        <v>306</v>
      </c>
      <c r="M141" s="198"/>
      <c r="N141" s="193"/>
      <c r="O141" s="66"/>
      <c r="P141" s="66"/>
      <c r="AH141" s="10">
        <v>0</v>
      </c>
    </row>
    <row r="142" spans="1:34" s="10" customFormat="1" ht="18.75" hidden="1" customHeight="1">
      <c r="A142" s="33"/>
      <c r="B142" s="33"/>
      <c r="C142" s="3" t="s">
        <v>1144</v>
      </c>
      <c r="D142" s="1438"/>
      <c r="E142" s="1239"/>
      <c r="F142" s="1377"/>
      <c r="G142" s="1413"/>
      <c r="H142" s="821"/>
      <c r="I142" s="51" t="s">
        <v>1143</v>
      </c>
      <c r="J142" s="108"/>
      <c r="K142" s="821"/>
      <c r="L142" s="105"/>
      <c r="M142" s="198"/>
      <c r="N142" s="193"/>
      <c r="O142" s="66"/>
      <c r="P142" s="66"/>
      <c r="AH142" s="10">
        <v>0</v>
      </c>
    </row>
    <row r="143" spans="1:34" s="10" customFormat="1" ht="0.75" hidden="1" customHeight="1">
      <c r="A143" s="33"/>
      <c r="B143" s="33"/>
      <c r="C143" s="3" t="s">
        <v>1153</v>
      </c>
      <c r="D143" s="1438"/>
      <c r="E143" s="1239"/>
      <c r="F143" s="1377"/>
      <c r="G143" s="224"/>
      <c r="H143" s="821"/>
      <c r="I143" s="51"/>
      <c r="J143" s="108"/>
      <c r="K143" s="821"/>
      <c r="L143" s="105"/>
      <c r="M143" s="198"/>
      <c r="N143" s="193"/>
      <c r="O143" s="66"/>
      <c r="P143" s="66"/>
      <c r="AH143" s="10">
        <v>0</v>
      </c>
    </row>
    <row r="144" spans="1:34" s="10" customFormat="1" ht="18.75" hidden="1" customHeight="1">
      <c r="A144" s="33" t="s">
        <v>265</v>
      </c>
      <c r="B144" s="33" t="s">
        <v>266</v>
      </c>
      <c r="C144" s="3"/>
      <c r="D144" s="1438"/>
      <c r="E144" s="1239"/>
      <c r="F144" s="1377" t="str">
        <f>INDEX(PT_DIFFERENTIATION_VTAR,MATCH(A144,PT_DIFFERENTIATION_VTAR_ID,0))</f>
        <v>Тариф на водоотведение</v>
      </c>
      <c r="G144" s="1413" t="str">
        <f>INDEX(PT_DIFFERENTIATION_NTAR,MATCH(B144,PT_DIFFERENTIATION_NTAR_ID,0))</f>
        <v/>
      </c>
      <c r="H144" s="760"/>
      <c r="I144" s="947"/>
      <c r="J144" s="973"/>
      <c r="K144" s="363"/>
      <c r="L144" s="760" t="s">
        <v>306</v>
      </c>
      <c r="M144" s="198"/>
      <c r="N144" s="193"/>
      <c r="O144" s="66"/>
      <c r="P144" s="66"/>
      <c r="AH144" s="10">
        <v>0</v>
      </c>
    </row>
    <row r="145" spans="1:34" s="10" customFormat="1" ht="18.75" hidden="1" customHeight="1">
      <c r="A145" s="33"/>
      <c r="B145" s="33"/>
      <c r="C145" s="3" t="s">
        <v>1144</v>
      </c>
      <c r="D145" s="1438"/>
      <c r="E145" s="1239"/>
      <c r="F145" s="1377"/>
      <c r="G145" s="1413"/>
      <c r="H145" s="821"/>
      <c r="I145" s="51" t="s">
        <v>1143</v>
      </c>
      <c r="J145" s="108"/>
      <c r="K145" s="821"/>
      <c r="L145" s="105"/>
      <c r="M145" s="198"/>
      <c r="N145" s="193"/>
      <c r="O145" s="66"/>
      <c r="P145" s="66"/>
      <c r="AH145" s="10">
        <v>0</v>
      </c>
    </row>
    <row r="146" spans="1:34" s="10" customFormat="1" ht="0.75" hidden="1" customHeight="1">
      <c r="A146" s="33"/>
      <c r="B146" s="33"/>
      <c r="C146" s="3" t="s">
        <v>1153</v>
      </c>
      <c r="D146" s="1438"/>
      <c r="E146" s="1239"/>
      <c r="F146" s="1377"/>
      <c r="G146" s="224"/>
      <c r="H146" s="821"/>
      <c r="I146" s="51"/>
      <c r="J146" s="108"/>
      <c r="K146" s="821"/>
      <c r="L146" s="105"/>
      <c r="M146" s="198"/>
      <c r="N146" s="193"/>
      <c r="O146" s="66"/>
      <c r="P146" s="66"/>
      <c r="AH146" s="10">
        <v>0</v>
      </c>
    </row>
    <row r="147" spans="1:34" s="10" customFormat="1" ht="18.75" hidden="1" customHeight="1">
      <c r="A147" s="33" t="s">
        <v>270</v>
      </c>
      <c r="B147" s="33" t="s">
        <v>271</v>
      </c>
      <c r="C147" s="3"/>
      <c r="D147" s="1438"/>
      <c r="E147" s="1239"/>
      <c r="F147" s="1377" t="str">
        <f>INDEX(PT_DIFFERENTIATION_VTAR,MATCH(A147,PT_DIFFERENTIATION_VTAR_ID,0))</f>
        <v>Тариф на транспортировку сточных вод</v>
      </c>
      <c r="G147" s="1413" t="str">
        <f>INDEX(PT_DIFFERENTIATION_NTAR,MATCH(B147,PT_DIFFERENTIATION_NTAR_ID,0))</f>
        <v/>
      </c>
      <c r="H147" s="760"/>
      <c r="I147" s="947"/>
      <c r="J147" s="973"/>
      <c r="K147" s="363"/>
      <c r="L147" s="760" t="s">
        <v>306</v>
      </c>
      <c r="M147" s="198"/>
      <c r="N147" s="193"/>
      <c r="O147" s="66"/>
      <c r="P147" s="66"/>
      <c r="AH147" s="10">
        <v>0</v>
      </c>
    </row>
    <row r="148" spans="1:34" s="10" customFormat="1" ht="18.75" hidden="1" customHeight="1">
      <c r="A148" s="33"/>
      <c r="B148" s="33"/>
      <c r="C148" s="3" t="s">
        <v>1144</v>
      </c>
      <c r="D148" s="1438"/>
      <c r="E148" s="1239"/>
      <c r="F148" s="1377"/>
      <c r="G148" s="1413"/>
      <c r="H148" s="821"/>
      <c r="I148" s="51" t="s">
        <v>1143</v>
      </c>
      <c r="J148" s="108"/>
      <c r="K148" s="821"/>
      <c r="L148" s="105"/>
      <c r="M148" s="198"/>
      <c r="N148" s="193"/>
      <c r="O148" s="66"/>
      <c r="P148" s="66"/>
      <c r="AH148" s="10">
        <v>0</v>
      </c>
    </row>
    <row r="149" spans="1:34" s="10" customFormat="1" ht="0.75" hidden="1" customHeight="1">
      <c r="A149" s="33"/>
      <c r="B149" s="33"/>
      <c r="C149" s="3" t="s">
        <v>1153</v>
      </c>
      <c r="D149" s="1438"/>
      <c r="E149" s="1239"/>
      <c r="F149" s="1377"/>
      <c r="G149" s="224"/>
      <c r="H149" s="821"/>
      <c r="I149" s="51"/>
      <c r="J149" s="108"/>
      <c r="K149" s="821"/>
      <c r="L149" s="105"/>
      <c r="M149" s="198"/>
      <c r="N149" s="193"/>
      <c r="O149" s="66"/>
      <c r="P149" s="66"/>
      <c r="AH149" s="10">
        <v>0</v>
      </c>
    </row>
    <row r="150" spans="1:34" s="10" customFormat="1" ht="18.75" hidden="1" customHeight="1">
      <c r="A150" s="33" t="s">
        <v>275</v>
      </c>
      <c r="B150" s="33" t="s">
        <v>276</v>
      </c>
      <c r="C150" s="3"/>
      <c r="D150" s="1438"/>
      <c r="E150" s="1239"/>
      <c r="F150" s="1377" t="str">
        <f>INDEX(PT_DIFFERENTIATION_VTAR,MATCH(A150,PT_DIFFERENTIATION_VTAR_ID,0))</f>
        <v>Тариф на подключение (технологическое присоединение) к централизованной системе водоотведения</v>
      </c>
      <c r="G150" s="1413" t="str">
        <f>INDEX(PT_DIFFERENTIATION_NTAR,MATCH(B150,PT_DIFFERENTIATION_NTAR_ID,0))</f>
        <v/>
      </c>
      <c r="H150" s="760"/>
      <c r="I150" s="947"/>
      <c r="J150" s="973"/>
      <c r="K150" s="363"/>
      <c r="L150" s="760" t="s">
        <v>306</v>
      </c>
      <c r="M150" s="198"/>
      <c r="N150" s="193"/>
      <c r="O150" s="66"/>
      <c r="P150" s="66"/>
      <c r="AH150" s="10">
        <v>0</v>
      </c>
    </row>
    <row r="151" spans="1:34" s="10" customFormat="1" ht="18.75" hidden="1" customHeight="1">
      <c r="A151" s="33"/>
      <c r="B151" s="33"/>
      <c r="C151" s="3" t="s">
        <v>1144</v>
      </c>
      <c r="D151" s="1438"/>
      <c r="E151" s="1239"/>
      <c r="F151" s="1377"/>
      <c r="G151" s="1413"/>
      <c r="H151" s="821"/>
      <c r="I151" s="51" t="s">
        <v>1143</v>
      </c>
      <c r="J151" s="108"/>
      <c r="K151" s="821"/>
      <c r="L151" s="105"/>
      <c r="M151" s="198"/>
      <c r="N151" s="193"/>
      <c r="O151" s="66"/>
      <c r="P151" s="66"/>
      <c r="AH151" s="10">
        <v>0</v>
      </c>
    </row>
    <row r="152" spans="1:34" s="10" customFormat="1" ht="1.1499999999999999" customHeight="1">
      <c r="A152" s="33"/>
      <c r="B152" s="33"/>
      <c r="C152" s="3" t="s">
        <v>1153</v>
      </c>
      <c r="D152" s="1438"/>
      <c r="E152" s="1239"/>
      <c r="F152" s="1377"/>
      <c r="G152" s="224"/>
      <c r="H152" s="821"/>
      <c r="I152" s="51"/>
      <c r="J152" s="108"/>
      <c r="K152" s="821"/>
      <c r="L152" s="105"/>
      <c r="M152" s="198"/>
      <c r="N152" s="193"/>
      <c r="O152" s="66"/>
      <c r="P152" s="66"/>
      <c r="AH152" s="10">
        <v>1</v>
      </c>
    </row>
    <row r="153" spans="1:34" ht="19.899999999999999" customHeight="1">
      <c r="A153" s="33"/>
      <c r="B153" s="33"/>
      <c r="D153" s="27"/>
      <c r="E153" s="61" t="s">
        <v>89</v>
      </c>
      <c r="F153" s="143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53" s="1437"/>
      <c r="H153" s="1437"/>
      <c r="I153" s="1437"/>
      <c r="J153" s="1437"/>
      <c r="K153" s="1437"/>
      <c r="L153" s="1437"/>
      <c r="M153" s="111"/>
      <c r="N153" s="193"/>
      <c r="AH153" s="10">
        <v>19</v>
      </c>
    </row>
    <row r="154" spans="1:34" s="10" customFormat="1" ht="60.75" hidden="1" customHeight="1">
      <c r="A154" s="33" t="s">
        <v>153</v>
      </c>
      <c r="B154" s="33" t="s">
        <v>154</v>
      </c>
      <c r="C154" s="3"/>
      <c r="D154" s="1438"/>
      <c r="E154" s="1239"/>
      <c r="F154" s="1377" t="str">
        <f>INDEX(PT_DIFFERENTIATION_VTAR,MATCH(A154,PT_DIFFERENTIATION_VTAR_ID,0))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4" s="1413" t="str">
        <f>INDEX(PT_DIFFERENTIATION_NTAR,MATCH(B154,PT_DIFFERENTIATION_NTAR_ID,0))</f>
        <v/>
      </c>
      <c r="H154" s="760"/>
      <c r="I154" s="947"/>
      <c r="J154" s="973"/>
      <c r="K154" s="363"/>
      <c r="L154" s="760" t="s">
        <v>306</v>
      </c>
      <c r="M154" s="11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4" s="193"/>
      <c r="O154" s="66"/>
      <c r="P154" s="66"/>
      <c r="AH154" s="10">
        <v>0</v>
      </c>
    </row>
    <row r="155" spans="1:34" s="10" customFormat="1" ht="18.75" hidden="1" customHeight="1">
      <c r="A155" s="33"/>
      <c r="B155" s="33"/>
      <c r="C155" s="3" t="s">
        <v>1144</v>
      </c>
      <c r="D155" s="1438"/>
      <c r="E155" s="1239"/>
      <c r="F155" s="1377"/>
      <c r="G155" s="1413"/>
      <c r="H155" s="821"/>
      <c r="I155" s="51" t="s">
        <v>1143</v>
      </c>
      <c r="J155" s="108"/>
      <c r="K155" s="821"/>
      <c r="L155" s="105"/>
      <c r="M155" s="1191"/>
      <c r="N155" s="193"/>
      <c r="O155" s="66"/>
      <c r="P155" s="66"/>
      <c r="AH155" s="10">
        <v>0</v>
      </c>
    </row>
    <row r="156" spans="1:34" s="10" customFormat="1" ht="0.75" hidden="1" customHeight="1">
      <c r="A156" s="33"/>
      <c r="B156" s="33"/>
      <c r="C156" s="3" t="s">
        <v>1153</v>
      </c>
      <c r="D156" s="1438"/>
      <c r="E156" s="1239"/>
      <c r="F156" s="1377"/>
      <c r="G156" s="224"/>
      <c r="H156" s="821"/>
      <c r="I156" s="51"/>
      <c r="J156" s="108"/>
      <c r="K156" s="821"/>
      <c r="L156" s="105"/>
      <c r="M156" s="1191"/>
      <c r="N156" s="193"/>
      <c r="O156" s="66"/>
      <c r="P156" s="66"/>
      <c r="AH156" s="10">
        <v>0</v>
      </c>
    </row>
    <row r="157" spans="1:34" s="10" customFormat="1" ht="45" hidden="1" customHeight="1">
      <c r="A157" s="33" t="s">
        <v>158</v>
      </c>
      <c r="B157" s="33" t="s">
        <v>159</v>
      </c>
      <c r="C157" s="3"/>
      <c r="D157" s="1438"/>
      <c r="E157" s="1239"/>
      <c r="F157" s="1377" t="str">
        <f>INDEX(PT_DIFFERENTIATION_VTAR,MATCH(A157,PT_DIFFERENTIATION_VTAR_ID,0))</f>
        <v/>
      </c>
      <c r="G157" s="1413" t="str">
        <f>INDEX(PT_DIFFERENTIATION_NTAR,MATCH(B157,PT_DIFFERENTIATION_NTAR_ID,0))</f>
        <v/>
      </c>
      <c r="H157" s="760"/>
      <c r="I157" s="947"/>
      <c r="J157" s="973"/>
      <c r="K157" s="363"/>
      <c r="L157" s="760" t="s">
        <v>306</v>
      </c>
      <c r="M157" s="1192"/>
      <c r="N157" s="193"/>
      <c r="O157" s="66"/>
      <c r="P157" s="66"/>
      <c r="AH157" s="10">
        <v>0</v>
      </c>
    </row>
    <row r="158" spans="1:34" s="10" customFormat="1" ht="18.75" hidden="1" customHeight="1">
      <c r="A158" s="33"/>
      <c r="B158" s="33"/>
      <c r="C158" s="3" t="s">
        <v>1144</v>
      </c>
      <c r="D158" s="1438"/>
      <c r="E158" s="1239"/>
      <c r="F158" s="1377"/>
      <c r="G158" s="1413"/>
      <c r="H158" s="821"/>
      <c r="I158" s="51" t="s">
        <v>1143</v>
      </c>
      <c r="J158" s="108"/>
      <c r="K158" s="821"/>
      <c r="L158" s="105"/>
      <c r="M158" s="1005"/>
      <c r="N158" s="193"/>
      <c r="O158" s="66"/>
      <c r="P158" s="66"/>
      <c r="AH158" s="10">
        <v>0</v>
      </c>
    </row>
    <row r="159" spans="1:34" s="10" customFormat="1" ht="0.75" hidden="1" customHeight="1">
      <c r="A159" s="33"/>
      <c r="B159" s="33"/>
      <c r="C159" s="3" t="s">
        <v>1153</v>
      </c>
      <c r="D159" s="1438"/>
      <c r="E159" s="1239"/>
      <c r="F159" s="1377"/>
      <c r="G159" s="224"/>
      <c r="H159" s="821"/>
      <c r="I159" s="51"/>
      <c r="J159" s="108"/>
      <c r="K159" s="821"/>
      <c r="L159" s="105"/>
      <c r="M159" s="198"/>
      <c r="N159" s="193"/>
      <c r="O159" s="66"/>
      <c r="P159" s="66"/>
      <c r="AH159" s="10">
        <v>0</v>
      </c>
    </row>
    <row r="160" spans="1:34" s="10" customFormat="1" ht="45" hidden="1" customHeight="1">
      <c r="A160" s="33" t="s">
        <v>165</v>
      </c>
      <c r="B160" s="33" t="s">
        <v>166</v>
      </c>
      <c r="C160" s="3"/>
      <c r="D160" s="1438"/>
      <c r="E160" s="1239"/>
      <c r="F160" s="1377" t="str">
        <f>INDEX(PT_DIFFERENTIATION_VTAR,MATCH(A160,PT_DIFFERENTIATION_VTAR_ID,0))</f>
        <v>Тарифы на теплоноситель, поставляемый теплоснабжающими организациями потребителям, другим теплоснабжающим организациям</v>
      </c>
      <c r="G160" s="1413" t="str">
        <f>INDEX(PT_DIFFERENTIATION_NTAR,MATCH(B160,PT_DIFFERENTIATION_NTAR_ID,0))</f>
        <v/>
      </c>
      <c r="H160" s="760"/>
      <c r="I160" s="947"/>
      <c r="J160" s="973"/>
      <c r="K160" s="363"/>
      <c r="L160" s="760" t="s">
        <v>306</v>
      </c>
      <c r="M160" s="198"/>
      <c r="N160" s="193"/>
      <c r="O160" s="66"/>
      <c r="P160" s="66"/>
      <c r="AH160" s="10">
        <v>0</v>
      </c>
    </row>
    <row r="161" spans="1:34" s="10" customFormat="1" ht="18.75" hidden="1" customHeight="1">
      <c r="A161" s="33"/>
      <c r="B161" s="33"/>
      <c r="C161" s="3" t="s">
        <v>1144</v>
      </c>
      <c r="D161" s="1438"/>
      <c r="E161" s="1239"/>
      <c r="F161" s="1377"/>
      <c r="G161" s="1413"/>
      <c r="H161" s="821"/>
      <c r="I161" s="51" t="s">
        <v>1143</v>
      </c>
      <c r="J161" s="108"/>
      <c r="K161" s="821"/>
      <c r="L161" s="105"/>
      <c r="M161" s="198"/>
      <c r="N161" s="193"/>
      <c r="O161" s="66"/>
      <c r="P161" s="66"/>
      <c r="AH161" s="10">
        <v>0</v>
      </c>
    </row>
    <row r="162" spans="1:34" s="10" customFormat="1" ht="0.75" hidden="1" customHeight="1">
      <c r="A162" s="33"/>
      <c r="B162" s="33"/>
      <c r="C162" s="3" t="s">
        <v>1153</v>
      </c>
      <c r="D162" s="1438"/>
      <c r="E162" s="1239"/>
      <c r="F162" s="1377"/>
      <c r="G162" s="224"/>
      <c r="H162" s="821"/>
      <c r="I162" s="51"/>
      <c r="J162" s="108"/>
      <c r="K162" s="821"/>
      <c r="L162" s="105"/>
      <c r="M162" s="198"/>
      <c r="N162" s="193"/>
      <c r="O162" s="66"/>
      <c r="P162" s="66"/>
      <c r="AH162" s="10">
        <v>0</v>
      </c>
    </row>
    <row r="163" spans="1:34" s="10" customFormat="1" ht="45" hidden="1" customHeight="1">
      <c r="A163" s="33" t="s">
        <v>171</v>
      </c>
      <c r="B163" s="33" t="s">
        <v>172</v>
      </c>
      <c r="C163" s="3"/>
      <c r="D163" s="1438"/>
      <c r="E163" s="1239"/>
      <c r="F163" s="1377" t="str">
        <f>INDEX(PT_DIFFERENTIATION_VTAR,MATCH(A163,PT_DIFFERENTIATION_VTAR_ID,0))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3" s="1413" t="str">
        <f>INDEX(PT_DIFFERENTIATION_NTAR,MATCH(B163,PT_DIFFERENTIATION_NTAR_ID,0))</f>
        <v/>
      </c>
      <c r="H163" s="760"/>
      <c r="I163" s="947"/>
      <c r="J163" s="973"/>
      <c r="K163" s="363"/>
      <c r="L163" s="760" t="s">
        <v>306</v>
      </c>
      <c r="M163" s="198"/>
      <c r="N163" s="193"/>
      <c r="O163" s="66"/>
      <c r="P163" s="66"/>
      <c r="AH163" s="10">
        <v>0</v>
      </c>
    </row>
    <row r="164" spans="1:34" s="10" customFormat="1" ht="18.75" hidden="1" customHeight="1">
      <c r="A164" s="33"/>
      <c r="B164" s="33"/>
      <c r="C164" s="3" t="s">
        <v>1144</v>
      </c>
      <c r="D164" s="1438"/>
      <c r="E164" s="1239"/>
      <c r="F164" s="1377"/>
      <c r="G164" s="1413"/>
      <c r="H164" s="821"/>
      <c r="I164" s="51" t="s">
        <v>1143</v>
      </c>
      <c r="J164" s="108"/>
      <c r="K164" s="821"/>
      <c r="L164" s="105"/>
      <c r="M164" s="198"/>
      <c r="N164" s="193"/>
      <c r="O164" s="66"/>
      <c r="P164" s="66"/>
      <c r="AH164" s="10">
        <v>0</v>
      </c>
    </row>
    <row r="165" spans="1:34" s="10" customFormat="1" ht="0.75" hidden="1" customHeight="1">
      <c r="A165" s="33"/>
      <c r="B165" s="33"/>
      <c r="C165" s="3" t="s">
        <v>1153</v>
      </c>
      <c r="D165" s="1438"/>
      <c r="E165" s="1239"/>
      <c r="F165" s="1377"/>
      <c r="G165" s="224"/>
      <c r="H165" s="821"/>
      <c r="I165" s="51"/>
      <c r="J165" s="108"/>
      <c r="K165" s="821"/>
      <c r="L165" s="105"/>
      <c r="M165" s="198"/>
      <c r="N165" s="193"/>
      <c r="O165" s="66"/>
      <c r="P165" s="66"/>
      <c r="AH165" s="10">
        <v>0</v>
      </c>
    </row>
    <row r="166" spans="1:34" s="10" customFormat="1" ht="18.75" hidden="1" customHeight="1">
      <c r="A166" s="33" t="s">
        <v>177</v>
      </c>
      <c r="B166" s="33" t="s">
        <v>178</v>
      </c>
      <c r="C166" s="3"/>
      <c r="D166" s="1438"/>
      <c r="E166" s="1239"/>
      <c r="F166" s="1377" t="str">
        <f>INDEX(PT_DIFFERENTIATION_VTAR,MATCH(A166,PT_DIFFERENTIATION_VTAR_ID,0))</f>
        <v>Тарифы на услуги по передаче тепловой энергии</v>
      </c>
      <c r="G166" s="1413" t="str">
        <f>INDEX(PT_DIFFERENTIATION_NTAR,MATCH(B166,PT_DIFFERENTIATION_NTAR_ID,0))</f>
        <v/>
      </c>
      <c r="H166" s="760"/>
      <c r="I166" s="947"/>
      <c r="J166" s="973"/>
      <c r="K166" s="363"/>
      <c r="L166" s="760" t="s">
        <v>306</v>
      </c>
      <c r="M166" s="198"/>
      <c r="N166" s="193"/>
      <c r="O166" s="66"/>
      <c r="P166" s="66"/>
      <c r="AH166" s="10">
        <v>0</v>
      </c>
    </row>
    <row r="167" spans="1:34" s="10" customFormat="1" ht="18.75" hidden="1" customHeight="1">
      <c r="A167" s="33"/>
      <c r="B167" s="33"/>
      <c r="C167" s="3" t="s">
        <v>1144</v>
      </c>
      <c r="D167" s="1438"/>
      <c r="E167" s="1239"/>
      <c r="F167" s="1377"/>
      <c r="G167" s="1413"/>
      <c r="H167" s="821"/>
      <c r="I167" s="51" t="s">
        <v>1143</v>
      </c>
      <c r="J167" s="108"/>
      <c r="K167" s="821"/>
      <c r="L167" s="105"/>
      <c r="M167" s="198"/>
      <c r="N167" s="193"/>
      <c r="O167" s="66"/>
      <c r="P167" s="66"/>
      <c r="AH167" s="10">
        <v>0</v>
      </c>
    </row>
    <row r="168" spans="1:34" s="10" customFormat="1" ht="0.75" hidden="1" customHeight="1">
      <c r="A168" s="33"/>
      <c r="B168" s="33"/>
      <c r="C168" s="3" t="s">
        <v>1153</v>
      </c>
      <c r="D168" s="1438"/>
      <c r="E168" s="1239"/>
      <c r="F168" s="1377"/>
      <c r="G168" s="224"/>
      <c r="H168" s="821"/>
      <c r="I168" s="51"/>
      <c r="J168" s="108"/>
      <c r="K168" s="821"/>
      <c r="L168" s="105"/>
      <c r="M168" s="198"/>
      <c r="N168" s="193"/>
      <c r="O168" s="66"/>
      <c r="P168" s="66"/>
      <c r="AH168" s="10">
        <v>0</v>
      </c>
    </row>
    <row r="169" spans="1:34" s="10" customFormat="1" ht="18.75" hidden="1" customHeight="1">
      <c r="A169" s="33" t="s">
        <v>183</v>
      </c>
      <c r="B169" s="33" t="s">
        <v>184</v>
      </c>
      <c r="C169" s="3"/>
      <c r="D169" s="1438"/>
      <c r="E169" s="1239"/>
      <c r="F169" s="1377" t="str">
        <f>INDEX(PT_DIFFERENTIATION_VTAR,MATCH(A169,PT_DIFFERENTIATION_VTAR_ID,0))</f>
        <v>Тарифы на услуги по передаче теплоносителя</v>
      </c>
      <c r="G169" s="1413" t="str">
        <f>INDEX(PT_DIFFERENTIATION_NTAR,MATCH(B169,PT_DIFFERENTIATION_NTAR_ID,0))</f>
        <v/>
      </c>
      <c r="H169" s="760"/>
      <c r="I169" s="947"/>
      <c r="J169" s="973"/>
      <c r="K169" s="363"/>
      <c r="L169" s="760" t="s">
        <v>306</v>
      </c>
      <c r="M169" s="198"/>
      <c r="N169" s="193"/>
      <c r="O169" s="66"/>
      <c r="P169" s="66"/>
      <c r="AH169" s="10">
        <v>0</v>
      </c>
    </row>
    <row r="170" spans="1:34" s="10" customFormat="1" ht="18.75" hidden="1" customHeight="1">
      <c r="A170" s="33"/>
      <c r="B170" s="33"/>
      <c r="C170" s="3" t="s">
        <v>1144</v>
      </c>
      <c r="D170" s="1438"/>
      <c r="E170" s="1239"/>
      <c r="F170" s="1377"/>
      <c r="G170" s="1413"/>
      <c r="H170" s="821"/>
      <c r="I170" s="51" t="s">
        <v>1143</v>
      </c>
      <c r="J170" s="108"/>
      <c r="K170" s="821"/>
      <c r="L170" s="105"/>
      <c r="M170" s="198"/>
      <c r="N170" s="193"/>
      <c r="O170" s="66"/>
      <c r="P170" s="66"/>
      <c r="AH170" s="10">
        <v>0</v>
      </c>
    </row>
    <row r="171" spans="1:34" s="10" customFormat="1" ht="0.75" hidden="1" customHeight="1">
      <c r="A171" s="33"/>
      <c r="B171" s="33"/>
      <c r="C171" s="3" t="s">
        <v>1153</v>
      </c>
      <c r="D171" s="1438"/>
      <c r="E171" s="1239"/>
      <c r="F171" s="1377"/>
      <c r="G171" s="224"/>
      <c r="H171" s="821"/>
      <c r="I171" s="51"/>
      <c r="J171" s="108"/>
      <c r="K171" s="821"/>
      <c r="L171" s="105"/>
      <c r="M171" s="198"/>
      <c r="N171" s="193"/>
      <c r="O171" s="66"/>
      <c r="P171" s="66"/>
      <c r="AH171" s="10">
        <v>0</v>
      </c>
    </row>
    <row r="172" spans="1:34" s="10" customFormat="1" ht="18.75" hidden="1" customHeight="1">
      <c r="A172" s="33" t="s">
        <v>189</v>
      </c>
      <c r="B172" s="33" t="s">
        <v>190</v>
      </c>
      <c r="C172" s="3"/>
      <c r="D172" s="1438"/>
      <c r="E172" s="1239"/>
      <c r="F172" s="1377" t="str">
        <f>INDEX(PT_DIFFERENTIATION_VTAR,MATCH(A172,PT_DIFFERENTIATION_VTAR_ID,0))</f>
        <v>Плата за услуги по поддержанию резервной тепловой мощности при отсутствии потребления тепловой энергии</v>
      </c>
      <c r="G172" s="1413" t="str">
        <f>INDEX(PT_DIFFERENTIATION_NTAR,MATCH(B172,PT_DIFFERENTIATION_NTAR_ID,0))</f>
        <v/>
      </c>
      <c r="H172" s="760"/>
      <c r="I172" s="947"/>
      <c r="J172" s="973"/>
      <c r="K172" s="363"/>
      <c r="L172" s="760" t="s">
        <v>306</v>
      </c>
      <c r="M172" s="198"/>
      <c r="N172" s="193"/>
      <c r="O172" s="66"/>
      <c r="P172" s="66"/>
      <c r="AH172" s="10">
        <v>0</v>
      </c>
    </row>
    <row r="173" spans="1:34" s="10" customFormat="1" ht="18.75" hidden="1" customHeight="1">
      <c r="A173" s="33"/>
      <c r="B173" s="33"/>
      <c r="C173" s="3" t="s">
        <v>1144</v>
      </c>
      <c r="D173" s="1438"/>
      <c r="E173" s="1239"/>
      <c r="F173" s="1377"/>
      <c r="G173" s="1413"/>
      <c r="H173" s="821"/>
      <c r="I173" s="51" t="s">
        <v>1143</v>
      </c>
      <c r="J173" s="108"/>
      <c r="K173" s="821"/>
      <c r="L173" s="105"/>
      <c r="M173" s="198"/>
      <c r="N173" s="193"/>
      <c r="O173" s="66"/>
      <c r="P173" s="66"/>
      <c r="AH173" s="10">
        <v>0</v>
      </c>
    </row>
    <row r="174" spans="1:34" s="10" customFormat="1" ht="0.75" hidden="1" customHeight="1">
      <c r="A174" s="33"/>
      <c r="B174" s="33"/>
      <c r="C174" s="3" t="s">
        <v>1153</v>
      </c>
      <c r="D174" s="1438"/>
      <c r="E174" s="1239"/>
      <c r="F174" s="1377"/>
      <c r="G174" s="224"/>
      <c r="H174" s="821"/>
      <c r="I174" s="51"/>
      <c r="J174" s="108"/>
      <c r="K174" s="821"/>
      <c r="L174" s="105"/>
      <c r="M174" s="198"/>
      <c r="N174" s="193"/>
      <c r="O174" s="66"/>
      <c r="P174" s="66"/>
      <c r="AH174" s="10">
        <v>0</v>
      </c>
    </row>
    <row r="175" spans="1:34" s="10" customFormat="1" ht="18.75" hidden="1" customHeight="1">
      <c r="A175" s="33" t="s">
        <v>195</v>
      </c>
      <c r="B175" s="33" t="s">
        <v>196</v>
      </c>
      <c r="C175" s="3"/>
      <c r="D175" s="1438"/>
      <c r="E175" s="1239"/>
      <c r="F175" s="1377" t="str">
        <f>INDEX(PT_DIFFERENTIATION_VTAR,MATCH(A175,PT_DIFFERENTIATION_VTAR_ID,0))</f>
        <v>Плата за подключение (технологическое присоединение) к системе теплоснабжения</v>
      </c>
      <c r="G175" s="1413" t="str">
        <f>INDEX(PT_DIFFERENTIATION_NTAR,MATCH(B175,PT_DIFFERENTIATION_NTAR_ID,0))</f>
        <v/>
      </c>
      <c r="H175" s="760"/>
      <c r="I175" s="947"/>
      <c r="J175" s="973"/>
      <c r="K175" s="363"/>
      <c r="L175" s="760" t="s">
        <v>306</v>
      </c>
      <c r="M175" s="198"/>
      <c r="N175" s="193"/>
      <c r="O175" s="66"/>
      <c r="P175" s="66"/>
      <c r="AH175" s="10">
        <v>0</v>
      </c>
    </row>
    <row r="176" spans="1:34" s="10" customFormat="1" ht="18.75" hidden="1" customHeight="1">
      <c r="A176" s="33"/>
      <c r="B176" s="33"/>
      <c r="C176" s="3" t="s">
        <v>1144</v>
      </c>
      <c r="D176" s="1438"/>
      <c r="E176" s="1239"/>
      <c r="F176" s="1377"/>
      <c r="G176" s="1413"/>
      <c r="H176" s="821"/>
      <c r="I176" s="51" t="s">
        <v>1143</v>
      </c>
      <c r="J176" s="108"/>
      <c r="K176" s="821"/>
      <c r="L176" s="105"/>
      <c r="M176" s="198"/>
      <c r="N176" s="193"/>
      <c r="O176" s="66"/>
      <c r="P176" s="66"/>
      <c r="AH176" s="10">
        <v>0</v>
      </c>
    </row>
    <row r="177" spans="1:34" s="10" customFormat="1" ht="0.75" hidden="1" customHeight="1">
      <c r="A177" s="33"/>
      <c r="B177" s="33"/>
      <c r="C177" s="3" t="s">
        <v>1153</v>
      </c>
      <c r="D177" s="1438"/>
      <c r="E177" s="1239"/>
      <c r="F177" s="1377"/>
      <c r="G177" s="224"/>
      <c r="H177" s="821"/>
      <c r="I177" s="51"/>
      <c r="J177" s="108"/>
      <c r="K177" s="821"/>
      <c r="L177" s="105"/>
      <c r="M177" s="198"/>
      <c r="N177" s="193"/>
      <c r="O177" s="66"/>
      <c r="P177" s="66"/>
      <c r="AH177" s="10">
        <v>0</v>
      </c>
    </row>
    <row r="178" spans="1:34" s="10" customFormat="1" ht="18.75" hidden="1" customHeight="1">
      <c r="A178" s="33" t="s">
        <v>201</v>
      </c>
      <c r="B178" s="33" t="s">
        <v>202</v>
      </c>
      <c r="C178" s="3"/>
      <c r="D178" s="1438"/>
      <c r="E178" s="1239"/>
      <c r="F178" s="1377" t="str">
        <f>INDEX(PT_DIFFERENTIATION_VTAR,MATCH(A178,PT_DIFFERENTIATION_VTAR_ID,0))</f>
        <v>Плата за подключение (технологическое присоединение) к системе теплоснабжения (индивидуальная)</v>
      </c>
      <c r="G178" s="1413" t="str">
        <f>INDEX(PT_DIFFERENTIATION_NTAR,MATCH(B178,PT_DIFFERENTIATION_NTAR_ID,0))</f>
        <v/>
      </c>
      <c r="H178" s="760"/>
      <c r="I178" s="947"/>
      <c r="J178" s="973"/>
      <c r="K178" s="363"/>
      <c r="L178" s="760" t="s">
        <v>306</v>
      </c>
      <c r="M178" s="198"/>
      <c r="N178" s="193"/>
      <c r="O178" s="66"/>
      <c r="P178" s="66"/>
      <c r="AH178" s="10">
        <v>0</v>
      </c>
    </row>
    <row r="179" spans="1:34" s="10" customFormat="1" ht="18.75" hidden="1" customHeight="1">
      <c r="A179" s="33"/>
      <c r="B179" s="33"/>
      <c r="C179" s="3" t="s">
        <v>1144</v>
      </c>
      <c r="D179" s="1438"/>
      <c r="E179" s="1239"/>
      <c r="F179" s="1377"/>
      <c r="G179" s="1413"/>
      <c r="H179" s="821"/>
      <c r="I179" s="51" t="s">
        <v>1143</v>
      </c>
      <c r="J179" s="108"/>
      <c r="K179" s="821"/>
      <c r="L179" s="105"/>
      <c r="M179" s="198"/>
      <c r="N179" s="193"/>
      <c r="O179" s="66"/>
      <c r="P179" s="66"/>
      <c r="AH179" s="10">
        <v>0</v>
      </c>
    </row>
    <row r="180" spans="1:34" s="10" customFormat="1" ht="0.75" hidden="1" customHeight="1">
      <c r="A180" s="33"/>
      <c r="B180" s="33"/>
      <c r="C180" s="3" t="s">
        <v>1153</v>
      </c>
      <c r="D180" s="1438"/>
      <c r="E180" s="1239"/>
      <c r="F180" s="1377"/>
      <c r="G180" s="224"/>
      <c r="H180" s="821"/>
      <c r="I180" s="51"/>
      <c r="J180" s="108"/>
      <c r="K180" s="821"/>
      <c r="L180" s="105"/>
      <c r="M180" s="198"/>
      <c r="N180" s="193"/>
      <c r="O180" s="66"/>
      <c r="P180" s="66"/>
      <c r="AH180" s="10">
        <v>0</v>
      </c>
    </row>
    <row r="181" spans="1:34" s="10" customFormat="1" ht="18.75" hidden="1" customHeight="1">
      <c r="A181" s="33" t="s">
        <v>221</v>
      </c>
      <c r="B181" s="33" t="s">
        <v>222</v>
      </c>
      <c r="C181" s="3"/>
      <c r="D181" s="1438"/>
      <c r="E181" s="1239"/>
      <c r="F181" s="1377" t="str">
        <f>INDEX(PT_DIFFERENTIATION_VTAR,MATCH(A181,PT_DIFFERENTIATION_VTAR_ID,0))</f>
        <v>Тариф на питьевую воду (питьевое водоснабжение)</v>
      </c>
      <c r="G181" s="1413" t="str">
        <f>INDEX(PT_DIFFERENTIATION_NTAR,MATCH(B181,PT_DIFFERENTIATION_NTAR_ID,0))</f>
        <v/>
      </c>
      <c r="H181" s="760"/>
      <c r="I181" s="947"/>
      <c r="J181" s="973"/>
      <c r="K181" s="363"/>
      <c r="L181" s="760" t="s">
        <v>306</v>
      </c>
      <c r="M181" s="198"/>
      <c r="N181" s="193"/>
      <c r="O181" s="66"/>
      <c r="P181" s="66"/>
      <c r="AH181" s="10">
        <v>0</v>
      </c>
    </row>
    <row r="182" spans="1:34" s="10" customFormat="1" ht="18.75" hidden="1" customHeight="1">
      <c r="A182" s="33"/>
      <c r="B182" s="33"/>
      <c r="C182" s="3" t="s">
        <v>1144</v>
      </c>
      <c r="D182" s="1438"/>
      <c r="E182" s="1239"/>
      <c r="F182" s="1377"/>
      <c r="G182" s="1413"/>
      <c r="H182" s="821"/>
      <c r="I182" s="51" t="s">
        <v>1143</v>
      </c>
      <c r="J182" s="108"/>
      <c r="K182" s="821"/>
      <c r="L182" s="105"/>
      <c r="M182" s="198"/>
      <c r="N182" s="193"/>
      <c r="O182" s="66"/>
      <c r="P182" s="66"/>
      <c r="AH182" s="10">
        <v>0</v>
      </c>
    </row>
    <row r="183" spans="1:34" s="10" customFormat="1" ht="0.75" hidden="1" customHeight="1">
      <c r="A183" s="33"/>
      <c r="B183" s="33"/>
      <c r="C183" s="3" t="s">
        <v>1153</v>
      </c>
      <c r="D183" s="1438"/>
      <c r="E183" s="1239"/>
      <c r="F183" s="1377"/>
      <c r="G183" s="224"/>
      <c r="H183" s="821"/>
      <c r="I183" s="51"/>
      <c r="J183" s="108"/>
      <c r="K183" s="821"/>
      <c r="L183" s="105"/>
      <c r="M183" s="198"/>
      <c r="N183" s="193"/>
      <c r="O183" s="66"/>
      <c r="P183" s="66"/>
      <c r="AH183" s="10">
        <v>0</v>
      </c>
    </row>
    <row r="184" spans="1:34" s="10" customFormat="1" ht="13.5" customHeight="1">
      <c r="A184" s="33" t="s">
        <v>227</v>
      </c>
      <c r="B184" s="33" t="s">
        <v>228</v>
      </c>
      <c r="C184" s="3"/>
      <c r="D184" s="1438"/>
      <c r="E184" s="1239"/>
      <c r="F184" s="1377" t="str">
        <f>INDEX(PT_DIFFERENTIATION_VTAR,MATCH(A184,PT_DIFFERENTIATION_VTAR_ID,0))</f>
        <v>Тариф на техническую воду</v>
      </c>
      <c r="G184" s="1413" t="str">
        <f>INDEX(PT_DIFFERENTIATION_NTAR,MATCH(B184,PT_DIFFERENTIATION_NTAR_ID,0))</f>
        <v>Тариф на техническую воду</v>
      </c>
      <c r="H184" s="760"/>
      <c r="I184" s="947">
        <v>46023</v>
      </c>
      <c r="J184" s="973">
        <v>46387</v>
      </c>
      <c r="K184" s="363">
        <v>12539</v>
      </c>
      <c r="L184" s="760" t="s">
        <v>306</v>
      </c>
      <c r="M184" s="198"/>
      <c r="N184" s="193"/>
      <c r="O184" s="66"/>
      <c r="P184" s="66"/>
      <c r="AH184" s="10">
        <v>0</v>
      </c>
    </row>
    <row r="185" spans="1:34" s="10" customFormat="1" ht="13.5" customHeight="1">
      <c r="A185" s="33"/>
      <c r="B185" s="33"/>
      <c r="C185" s="3"/>
      <c r="D185" s="1447"/>
      <c r="E185" s="1446"/>
      <c r="F185" s="1446"/>
      <c r="G185" s="1446"/>
      <c r="H185" s="38" t="s">
        <v>493</v>
      </c>
      <c r="I185" s="947">
        <v>46388</v>
      </c>
      <c r="J185" s="973">
        <v>46752</v>
      </c>
      <c r="K185" s="363">
        <v>12539</v>
      </c>
      <c r="L185" s="760" t="s">
        <v>306</v>
      </c>
      <c r="M185" s="1013"/>
      <c r="N185" s="193"/>
      <c r="O185" s="66"/>
      <c r="P185" s="66"/>
      <c r="AH185" s="10">
        <v>0</v>
      </c>
    </row>
    <row r="186" spans="1:34" s="10" customFormat="1" ht="13.5" customHeight="1">
      <c r="A186" s="33"/>
      <c r="B186" s="33"/>
      <c r="C186" s="3"/>
      <c r="D186" s="1447"/>
      <c r="E186" s="1446"/>
      <c r="F186" s="1446"/>
      <c r="G186" s="1446"/>
      <c r="H186" s="38" t="s">
        <v>493</v>
      </c>
      <c r="I186" s="947">
        <v>46753</v>
      </c>
      <c r="J186" s="973">
        <v>47118</v>
      </c>
      <c r="K186" s="363">
        <v>12539</v>
      </c>
      <c r="L186" s="760" t="s">
        <v>306</v>
      </c>
      <c r="M186" s="1013"/>
      <c r="N186" s="193"/>
      <c r="O186" s="66"/>
      <c r="P186" s="66"/>
      <c r="AH186" s="10">
        <v>0</v>
      </c>
    </row>
    <row r="187" spans="1:34" s="10" customFormat="1" ht="13.5" customHeight="1">
      <c r="A187" s="33"/>
      <c r="B187" s="33"/>
      <c r="C187" s="3"/>
      <c r="D187" s="1447"/>
      <c r="E187" s="1446"/>
      <c r="F187" s="1446"/>
      <c r="G187" s="1446"/>
      <c r="H187" s="38" t="s">
        <v>493</v>
      </c>
      <c r="I187" s="947">
        <v>47119</v>
      </c>
      <c r="J187" s="973">
        <v>47483</v>
      </c>
      <c r="K187" s="363">
        <v>12539</v>
      </c>
      <c r="L187" s="760" t="s">
        <v>306</v>
      </c>
      <c r="M187" s="1013"/>
      <c r="N187" s="193"/>
      <c r="O187" s="66"/>
      <c r="P187" s="66"/>
      <c r="AH187" s="10">
        <v>0</v>
      </c>
    </row>
    <row r="188" spans="1:34" s="10" customFormat="1" ht="18.75" customHeight="1">
      <c r="A188" s="33"/>
      <c r="B188" s="33"/>
      <c r="C188" s="3" t="s">
        <v>1144</v>
      </c>
      <c r="D188" s="1438"/>
      <c r="E188" s="1239"/>
      <c r="F188" s="1377"/>
      <c r="G188" s="1413"/>
      <c r="H188" s="821"/>
      <c r="I188" s="51" t="s">
        <v>1143</v>
      </c>
      <c r="J188" s="108"/>
      <c r="K188" s="821"/>
      <c r="L188" s="105"/>
      <c r="M188" s="198"/>
      <c r="N188" s="193"/>
      <c r="O188" s="66"/>
      <c r="P188" s="66"/>
      <c r="AH188" s="10">
        <v>0</v>
      </c>
    </row>
    <row r="189" spans="1:34" s="10" customFormat="1" ht="0.75" customHeight="1">
      <c r="A189" s="33"/>
      <c r="B189" s="33"/>
      <c r="C189" s="3" t="s">
        <v>1153</v>
      </c>
      <c r="D189" s="1438"/>
      <c r="E189" s="1239"/>
      <c r="F189" s="1377"/>
      <c r="G189" s="224"/>
      <c r="H189" s="821"/>
      <c r="I189" s="51"/>
      <c r="J189" s="108"/>
      <c r="K189" s="821"/>
      <c r="L189" s="105"/>
      <c r="M189" s="198"/>
      <c r="N189" s="193"/>
      <c r="O189" s="66"/>
      <c r="P189" s="66"/>
      <c r="AH189" s="10">
        <v>0</v>
      </c>
    </row>
    <row r="190" spans="1:34" s="10" customFormat="1" ht="18.75" hidden="1" customHeight="1">
      <c r="A190" s="33" t="s">
        <v>235</v>
      </c>
      <c r="B190" s="33" t="s">
        <v>236</v>
      </c>
      <c r="C190" s="3"/>
      <c r="D190" s="1438"/>
      <c r="E190" s="1239"/>
      <c r="F190" s="1377" t="str">
        <f>INDEX(PT_DIFFERENTIATION_VTAR,MATCH(A190,PT_DIFFERENTIATION_VTAR_ID,0))</f>
        <v>Тариф на транспортировку воды</v>
      </c>
      <c r="G190" s="1413" t="str">
        <f>INDEX(PT_DIFFERENTIATION_NTAR,MATCH(B190,PT_DIFFERENTIATION_NTAR_ID,0))</f>
        <v/>
      </c>
      <c r="H190" s="760"/>
      <c r="I190" s="947"/>
      <c r="J190" s="973"/>
      <c r="K190" s="363"/>
      <c r="L190" s="760" t="s">
        <v>306</v>
      </c>
      <c r="M190" s="198"/>
      <c r="N190" s="193"/>
      <c r="O190" s="66"/>
      <c r="P190" s="66"/>
      <c r="AH190" s="10">
        <v>0</v>
      </c>
    </row>
    <row r="191" spans="1:34" s="10" customFormat="1" ht="18.75" hidden="1" customHeight="1">
      <c r="A191" s="33"/>
      <c r="B191" s="33"/>
      <c r="C191" s="3" t="s">
        <v>1144</v>
      </c>
      <c r="D191" s="1438"/>
      <c r="E191" s="1239"/>
      <c r="F191" s="1377"/>
      <c r="G191" s="1413"/>
      <c r="H191" s="821"/>
      <c r="I191" s="51" t="s">
        <v>1143</v>
      </c>
      <c r="J191" s="108"/>
      <c r="K191" s="821"/>
      <c r="L191" s="105"/>
      <c r="M191" s="198"/>
      <c r="N191" s="193"/>
      <c r="O191" s="66"/>
      <c r="P191" s="66"/>
      <c r="AH191" s="10">
        <v>0</v>
      </c>
    </row>
    <row r="192" spans="1:34" s="10" customFormat="1" ht="0.75" hidden="1" customHeight="1">
      <c r="A192" s="33"/>
      <c r="B192" s="33"/>
      <c r="C192" s="3" t="s">
        <v>1153</v>
      </c>
      <c r="D192" s="1438"/>
      <c r="E192" s="1239"/>
      <c r="F192" s="1377"/>
      <c r="G192" s="224"/>
      <c r="H192" s="821"/>
      <c r="I192" s="51"/>
      <c r="J192" s="108"/>
      <c r="K192" s="821"/>
      <c r="L192" s="105"/>
      <c r="M192" s="198"/>
      <c r="N192" s="193"/>
      <c r="O192" s="66"/>
      <c r="P192" s="66"/>
      <c r="AH192" s="10">
        <v>0</v>
      </c>
    </row>
    <row r="193" spans="1:34" s="10" customFormat="1" ht="18.75" hidden="1" customHeight="1">
      <c r="A193" s="33" t="s">
        <v>240</v>
      </c>
      <c r="B193" s="33" t="s">
        <v>241</v>
      </c>
      <c r="C193" s="3"/>
      <c r="D193" s="1438"/>
      <c r="E193" s="1239"/>
      <c r="F193" s="1377" t="str">
        <f>INDEX(PT_DIFFERENTIATION_VTAR,MATCH(A193,PT_DIFFERENTIATION_VTAR_ID,0))</f>
        <v>Тариф на подвоз воды</v>
      </c>
      <c r="G193" s="1413" t="str">
        <f>INDEX(PT_DIFFERENTIATION_NTAR,MATCH(B193,PT_DIFFERENTIATION_NTAR_ID,0))</f>
        <v/>
      </c>
      <c r="H193" s="760"/>
      <c r="I193" s="947"/>
      <c r="J193" s="973"/>
      <c r="K193" s="363"/>
      <c r="L193" s="760" t="s">
        <v>306</v>
      </c>
      <c r="M193" s="198"/>
      <c r="N193" s="193"/>
      <c r="O193" s="66"/>
      <c r="P193" s="66"/>
      <c r="AH193" s="10">
        <v>0</v>
      </c>
    </row>
    <row r="194" spans="1:34" s="10" customFormat="1" ht="18.75" hidden="1" customHeight="1">
      <c r="A194" s="33"/>
      <c r="B194" s="33"/>
      <c r="C194" s="3" t="s">
        <v>1144</v>
      </c>
      <c r="D194" s="1438"/>
      <c r="E194" s="1239"/>
      <c r="F194" s="1377"/>
      <c r="G194" s="1413"/>
      <c r="H194" s="821"/>
      <c r="I194" s="51" t="s">
        <v>1143</v>
      </c>
      <c r="J194" s="108"/>
      <c r="K194" s="821"/>
      <c r="L194" s="105"/>
      <c r="M194" s="198"/>
      <c r="N194" s="193"/>
      <c r="O194" s="66"/>
      <c r="P194" s="66"/>
      <c r="AH194" s="10">
        <v>0</v>
      </c>
    </row>
    <row r="195" spans="1:34" s="10" customFormat="1" ht="0.75" hidden="1" customHeight="1">
      <c r="A195" s="33"/>
      <c r="B195" s="33"/>
      <c r="C195" s="3" t="s">
        <v>1153</v>
      </c>
      <c r="D195" s="1438"/>
      <c r="E195" s="1239"/>
      <c r="F195" s="1377"/>
      <c r="G195" s="224"/>
      <c r="H195" s="821"/>
      <c r="I195" s="51"/>
      <c r="J195" s="108"/>
      <c r="K195" s="821"/>
      <c r="L195" s="105"/>
      <c r="M195" s="198"/>
      <c r="N195" s="193"/>
      <c r="O195" s="66"/>
      <c r="P195" s="66"/>
      <c r="AH195" s="10">
        <v>0</v>
      </c>
    </row>
    <row r="196" spans="1:34" s="10" customFormat="1" ht="18.75" hidden="1" customHeight="1">
      <c r="A196" s="33" t="s">
        <v>245</v>
      </c>
      <c r="B196" s="33" t="s">
        <v>246</v>
      </c>
      <c r="C196" s="3"/>
      <c r="D196" s="1438"/>
      <c r="E196" s="1239"/>
      <c r="F196" s="1377" t="str">
        <f>INDEX(PT_DIFFERENTIATION_VTAR,MATCH(A196,PT_DIFFERENTIATION_VTAR_ID,0))</f>
        <v>Тариф на подключение (технологическое присоединение) к централизованной системе холодного водоснабжения</v>
      </c>
      <c r="G196" s="1413" t="str">
        <f>INDEX(PT_DIFFERENTIATION_NTAR,MATCH(B196,PT_DIFFERENTIATION_NTAR_ID,0))</f>
        <v/>
      </c>
      <c r="H196" s="760"/>
      <c r="I196" s="947"/>
      <c r="J196" s="973"/>
      <c r="K196" s="363"/>
      <c r="L196" s="760" t="s">
        <v>306</v>
      </c>
      <c r="M196" s="198"/>
      <c r="N196" s="193"/>
      <c r="O196" s="66"/>
      <c r="P196" s="66"/>
      <c r="AH196" s="10">
        <v>0</v>
      </c>
    </row>
    <row r="197" spans="1:34" s="10" customFormat="1" ht="18.75" hidden="1" customHeight="1">
      <c r="A197" s="33"/>
      <c r="B197" s="33"/>
      <c r="C197" s="3" t="s">
        <v>1144</v>
      </c>
      <c r="D197" s="1438"/>
      <c r="E197" s="1239"/>
      <c r="F197" s="1377"/>
      <c r="G197" s="1413"/>
      <c r="H197" s="821"/>
      <c r="I197" s="51" t="s">
        <v>1143</v>
      </c>
      <c r="J197" s="108"/>
      <c r="K197" s="821"/>
      <c r="L197" s="105"/>
      <c r="M197" s="198"/>
      <c r="N197" s="193"/>
      <c r="O197" s="66"/>
      <c r="P197" s="66"/>
      <c r="AH197" s="10">
        <v>0</v>
      </c>
    </row>
    <row r="198" spans="1:34" s="10" customFormat="1" ht="0.75" hidden="1" customHeight="1">
      <c r="A198" s="33"/>
      <c r="B198" s="33"/>
      <c r="C198" s="3" t="s">
        <v>1153</v>
      </c>
      <c r="D198" s="1438"/>
      <c r="E198" s="1239"/>
      <c r="F198" s="1377"/>
      <c r="G198" s="224"/>
      <c r="H198" s="821"/>
      <c r="I198" s="51"/>
      <c r="J198" s="108"/>
      <c r="K198" s="821"/>
      <c r="L198" s="105"/>
      <c r="M198" s="198"/>
      <c r="N198" s="193"/>
      <c r="O198" s="66"/>
      <c r="P198" s="66"/>
      <c r="AH198" s="10">
        <v>0</v>
      </c>
    </row>
    <row r="199" spans="1:34" s="10" customFormat="1" ht="18.75" hidden="1" customHeight="1">
      <c r="A199" s="33" t="s">
        <v>250</v>
      </c>
      <c r="B199" s="33" t="s">
        <v>251</v>
      </c>
      <c r="C199" s="3"/>
      <c r="D199" s="1438"/>
      <c r="E199" s="1239"/>
      <c r="F199" s="1377" t="str">
        <f>INDEX(PT_DIFFERENTIATION_VTAR,MATCH(A199,PT_DIFFERENTIATION_VTAR_ID,0))</f>
        <v>Тариф на горячую воду (горячее водоснабжение)</v>
      </c>
      <c r="G199" s="1413" t="str">
        <f>INDEX(PT_DIFFERENTIATION_NTAR,MATCH(B199,PT_DIFFERENTIATION_NTAR_ID,0))</f>
        <v/>
      </c>
      <c r="H199" s="760"/>
      <c r="I199" s="947"/>
      <c r="J199" s="973"/>
      <c r="K199" s="363"/>
      <c r="L199" s="760" t="s">
        <v>306</v>
      </c>
      <c r="M199" s="198"/>
      <c r="N199" s="193"/>
      <c r="O199" s="66"/>
      <c r="P199" s="66"/>
      <c r="AH199" s="10">
        <v>0</v>
      </c>
    </row>
    <row r="200" spans="1:34" s="10" customFormat="1" ht="18.75" hidden="1" customHeight="1">
      <c r="A200" s="33"/>
      <c r="B200" s="33"/>
      <c r="C200" s="3" t="s">
        <v>1144</v>
      </c>
      <c r="D200" s="1438"/>
      <c r="E200" s="1239"/>
      <c r="F200" s="1377"/>
      <c r="G200" s="1413"/>
      <c r="H200" s="821"/>
      <c r="I200" s="51" t="s">
        <v>1143</v>
      </c>
      <c r="J200" s="108"/>
      <c r="K200" s="821"/>
      <c r="L200" s="105"/>
      <c r="M200" s="198"/>
      <c r="N200" s="193"/>
      <c r="O200" s="66"/>
      <c r="P200" s="66"/>
      <c r="AH200" s="10">
        <v>0</v>
      </c>
    </row>
    <row r="201" spans="1:34" s="10" customFormat="1" ht="0.75" hidden="1" customHeight="1">
      <c r="A201" s="33"/>
      <c r="B201" s="33"/>
      <c r="C201" s="3" t="s">
        <v>1153</v>
      </c>
      <c r="D201" s="1438"/>
      <c r="E201" s="1239"/>
      <c r="F201" s="1377"/>
      <c r="G201" s="224"/>
      <c r="H201" s="821"/>
      <c r="I201" s="51"/>
      <c r="J201" s="108"/>
      <c r="K201" s="821"/>
      <c r="L201" s="105"/>
      <c r="M201" s="198"/>
      <c r="N201" s="193"/>
      <c r="O201" s="66"/>
      <c r="P201" s="66"/>
      <c r="AH201" s="10">
        <v>0</v>
      </c>
    </row>
    <row r="202" spans="1:34" s="10" customFormat="1" ht="18.75" hidden="1" customHeight="1">
      <c r="A202" s="33" t="s">
        <v>255</v>
      </c>
      <c r="B202" s="33" t="s">
        <v>256</v>
      </c>
      <c r="C202" s="3"/>
      <c r="D202" s="1438"/>
      <c r="E202" s="1239"/>
      <c r="F202" s="1377" t="str">
        <f>INDEX(PT_DIFFERENTIATION_VTAR,MATCH(A202,PT_DIFFERENTIATION_VTAR_ID,0))</f>
        <v>Тариф на транспортировку горячей воды</v>
      </c>
      <c r="G202" s="1413" t="str">
        <f>INDEX(PT_DIFFERENTIATION_NTAR,MATCH(B202,PT_DIFFERENTIATION_NTAR_ID,0))</f>
        <v/>
      </c>
      <c r="H202" s="760"/>
      <c r="I202" s="947"/>
      <c r="J202" s="973"/>
      <c r="K202" s="363"/>
      <c r="L202" s="760" t="s">
        <v>306</v>
      </c>
      <c r="M202" s="198"/>
      <c r="N202" s="193"/>
      <c r="O202" s="66"/>
      <c r="P202" s="66"/>
      <c r="AH202" s="10">
        <v>0</v>
      </c>
    </row>
    <row r="203" spans="1:34" s="10" customFormat="1" ht="18.75" hidden="1" customHeight="1">
      <c r="A203" s="33"/>
      <c r="B203" s="33"/>
      <c r="C203" s="3" t="s">
        <v>1144</v>
      </c>
      <c r="D203" s="1438"/>
      <c r="E203" s="1239"/>
      <c r="F203" s="1377"/>
      <c r="G203" s="1413"/>
      <c r="H203" s="821"/>
      <c r="I203" s="51" t="s">
        <v>1143</v>
      </c>
      <c r="J203" s="108"/>
      <c r="K203" s="821"/>
      <c r="L203" s="105"/>
      <c r="M203" s="198"/>
      <c r="N203" s="193"/>
      <c r="O203" s="66"/>
      <c r="P203" s="66"/>
      <c r="AH203" s="10">
        <v>0</v>
      </c>
    </row>
    <row r="204" spans="1:34" s="10" customFormat="1" ht="0.75" hidden="1" customHeight="1">
      <c r="A204" s="33"/>
      <c r="B204" s="33"/>
      <c r="C204" s="3" t="s">
        <v>1153</v>
      </c>
      <c r="D204" s="1438"/>
      <c r="E204" s="1239"/>
      <c r="F204" s="1377"/>
      <c r="G204" s="224"/>
      <c r="H204" s="821"/>
      <c r="I204" s="51"/>
      <c r="J204" s="108"/>
      <c r="K204" s="821"/>
      <c r="L204" s="105"/>
      <c r="M204" s="198"/>
      <c r="N204" s="193"/>
      <c r="O204" s="66"/>
      <c r="P204" s="66"/>
      <c r="AH204" s="10">
        <v>0</v>
      </c>
    </row>
    <row r="205" spans="1:34" s="10" customFormat="1" ht="18.75" hidden="1" customHeight="1">
      <c r="A205" s="33" t="s">
        <v>260</v>
      </c>
      <c r="B205" s="33" t="s">
        <v>261</v>
      </c>
      <c r="C205" s="3"/>
      <c r="D205" s="1438"/>
      <c r="E205" s="1239"/>
      <c r="F205" s="1377" t="str">
        <f>INDEX(PT_DIFFERENTIATION_VTAR,MATCH(A205,PT_DIFFERENTIATION_VTAR_ID,0))</f>
        <v>Тариф на подключение (технологическое присоединение) к централизованной системе горячего водоснабжения</v>
      </c>
      <c r="G205" s="1413" t="str">
        <f>INDEX(PT_DIFFERENTIATION_NTAR,MATCH(B205,PT_DIFFERENTIATION_NTAR_ID,0))</f>
        <v/>
      </c>
      <c r="H205" s="760"/>
      <c r="I205" s="947"/>
      <c r="J205" s="973"/>
      <c r="K205" s="363"/>
      <c r="L205" s="760" t="s">
        <v>306</v>
      </c>
      <c r="M205" s="198"/>
      <c r="N205" s="193"/>
      <c r="O205" s="66"/>
      <c r="P205" s="66"/>
      <c r="AH205" s="10">
        <v>0</v>
      </c>
    </row>
    <row r="206" spans="1:34" s="10" customFormat="1" ht="18.75" hidden="1" customHeight="1">
      <c r="A206" s="33"/>
      <c r="B206" s="33"/>
      <c r="C206" s="3" t="s">
        <v>1144</v>
      </c>
      <c r="D206" s="1438"/>
      <c r="E206" s="1239"/>
      <c r="F206" s="1377"/>
      <c r="G206" s="1413"/>
      <c r="H206" s="821"/>
      <c r="I206" s="51" t="s">
        <v>1143</v>
      </c>
      <c r="J206" s="108"/>
      <c r="K206" s="821"/>
      <c r="L206" s="105"/>
      <c r="M206" s="198"/>
      <c r="N206" s="193"/>
      <c r="O206" s="66"/>
      <c r="P206" s="66"/>
      <c r="AH206" s="10">
        <v>0</v>
      </c>
    </row>
    <row r="207" spans="1:34" s="10" customFormat="1" ht="0.75" hidden="1" customHeight="1">
      <c r="A207" s="33"/>
      <c r="B207" s="33"/>
      <c r="C207" s="3" t="s">
        <v>1153</v>
      </c>
      <c r="D207" s="1438"/>
      <c r="E207" s="1239"/>
      <c r="F207" s="1377"/>
      <c r="G207" s="224"/>
      <c r="H207" s="821"/>
      <c r="I207" s="51"/>
      <c r="J207" s="108"/>
      <c r="K207" s="821"/>
      <c r="L207" s="105"/>
      <c r="M207" s="198"/>
      <c r="N207" s="193"/>
      <c r="O207" s="66"/>
      <c r="P207" s="66"/>
      <c r="AH207" s="10">
        <v>0</v>
      </c>
    </row>
    <row r="208" spans="1:34" s="10" customFormat="1" ht="18.75" hidden="1" customHeight="1">
      <c r="A208" s="33" t="s">
        <v>265</v>
      </c>
      <c r="B208" s="33" t="s">
        <v>266</v>
      </c>
      <c r="C208" s="3"/>
      <c r="D208" s="1438"/>
      <c r="E208" s="1239"/>
      <c r="F208" s="1377" t="str">
        <f>INDEX(PT_DIFFERENTIATION_VTAR,MATCH(A208,PT_DIFFERENTIATION_VTAR_ID,0))</f>
        <v>Тариф на водоотведение</v>
      </c>
      <c r="G208" s="1413" t="str">
        <f>INDEX(PT_DIFFERENTIATION_NTAR,MATCH(B208,PT_DIFFERENTIATION_NTAR_ID,0))</f>
        <v/>
      </c>
      <c r="H208" s="760"/>
      <c r="I208" s="947"/>
      <c r="J208" s="973"/>
      <c r="K208" s="363"/>
      <c r="L208" s="760" t="s">
        <v>306</v>
      </c>
      <c r="M208" s="198"/>
      <c r="N208" s="193"/>
      <c r="O208" s="66"/>
      <c r="P208" s="66"/>
      <c r="AH208" s="10">
        <v>0</v>
      </c>
    </row>
    <row r="209" spans="1:34" s="10" customFormat="1" ht="18.75" hidden="1" customHeight="1">
      <c r="A209" s="33"/>
      <c r="B209" s="33"/>
      <c r="C209" s="3" t="s">
        <v>1144</v>
      </c>
      <c r="D209" s="1438"/>
      <c r="E209" s="1239"/>
      <c r="F209" s="1377"/>
      <c r="G209" s="1413"/>
      <c r="H209" s="821"/>
      <c r="I209" s="51" t="s">
        <v>1143</v>
      </c>
      <c r="J209" s="108"/>
      <c r="K209" s="821"/>
      <c r="L209" s="105"/>
      <c r="M209" s="198"/>
      <c r="N209" s="193"/>
      <c r="O209" s="66"/>
      <c r="P209" s="66"/>
      <c r="AH209" s="10">
        <v>0</v>
      </c>
    </row>
    <row r="210" spans="1:34" s="10" customFormat="1" ht="0.75" hidden="1" customHeight="1">
      <c r="A210" s="33"/>
      <c r="B210" s="33"/>
      <c r="C210" s="3" t="s">
        <v>1153</v>
      </c>
      <c r="D210" s="1438"/>
      <c r="E210" s="1239"/>
      <c r="F210" s="1377"/>
      <c r="G210" s="224"/>
      <c r="H210" s="821"/>
      <c r="I210" s="51"/>
      <c r="J210" s="108"/>
      <c r="K210" s="821"/>
      <c r="L210" s="105"/>
      <c r="M210" s="198"/>
      <c r="N210" s="193"/>
      <c r="O210" s="66"/>
      <c r="P210" s="66"/>
      <c r="AH210" s="10">
        <v>0</v>
      </c>
    </row>
    <row r="211" spans="1:34" s="10" customFormat="1" ht="18.75" hidden="1" customHeight="1">
      <c r="A211" s="33" t="s">
        <v>270</v>
      </c>
      <c r="B211" s="33" t="s">
        <v>271</v>
      </c>
      <c r="C211" s="3"/>
      <c r="D211" s="1438"/>
      <c r="E211" s="1239"/>
      <c r="F211" s="1377" t="str">
        <f>INDEX(PT_DIFFERENTIATION_VTAR,MATCH(A211,PT_DIFFERENTIATION_VTAR_ID,0))</f>
        <v>Тариф на транспортировку сточных вод</v>
      </c>
      <c r="G211" s="1413" t="str">
        <f>INDEX(PT_DIFFERENTIATION_NTAR,MATCH(B211,PT_DIFFERENTIATION_NTAR_ID,0))</f>
        <v/>
      </c>
      <c r="H211" s="760"/>
      <c r="I211" s="947"/>
      <c r="J211" s="973"/>
      <c r="K211" s="363"/>
      <c r="L211" s="760" t="s">
        <v>306</v>
      </c>
      <c r="M211" s="198"/>
      <c r="N211" s="193"/>
      <c r="O211" s="66"/>
      <c r="P211" s="66"/>
      <c r="AH211" s="10">
        <v>0</v>
      </c>
    </row>
    <row r="212" spans="1:34" s="10" customFormat="1" ht="18.75" hidden="1" customHeight="1">
      <c r="A212" s="33"/>
      <c r="B212" s="33"/>
      <c r="C212" s="3" t="s">
        <v>1144</v>
      </c>
      <c r="D212" s="1438"/>
      <c r="E212" s="1239"/>
      <c r="F212" s="1377"/>
      <c r="G212" s="1413"/>
      <c r="H212" s="821"/>
      <c r="I212" s="51" t="s">
        <v>1143</v>
      </c>
      <c r="J212" s="108"/>
      <c r="K212" s="821"/>
      <c r="L212" s="105"/>
      <c r="M212" s="198"/>
      <c r="N212" s="193"/>
      <c r="O212" s="66"/>
      <c r="P212" s="66"/>
      <c r="AH212" s="10">
        <v>0</v>
      </c>
    </row>
    <row r="213" spans="1:34" s="10" customFormat="1" ht="0.75" hidden="1" customHeight="1">
      <c r="A213" s="33"/>
      <c r="B213" s="33"/>
      <c r="C213" s="3" t="s">
        <v>1153</v>
      </c>
      <c r="D213" s="1438"/>
      <c r="E213" s="1239"/>
      <c r="F213" s="1377"/>
      <c r="G213" s="224"/>
      <c r="H213" s="821"/>
      <c r="I213" s="51"/>
      <c r="J213" s="108"/>
      <c r="K213" s="821"/>
      <c r="L213" s="105"/>
      <c r="M213" s="198"/>
      <c r="N213" s="193"/>
      <c r="O213" s="66"/>
      <c r="P213" s="66"/>
      <c r="AH213" s="10">
        <v>0</v>
      </c>
    </row>
    <row r="214" spans="1:34" s="10" customFormat="1" ht="18.75" hidden="1" customHeight="1">
      <c r="A214" s="33" t="s">
        <v>275</v>
      </c>
      <c r="B214" s="33" t="s">
        <v>276</v>
      </c>
      <c r="C214" s="3"/>
      <c r="D214" s="1438"/>
      <c r="E214" s="1239"/>
      <c r="F214" s="1377" t="str">
        <f>INDEX(PT_DIFFERENTIATION_VTAR,MATCH(A214,PT_DIFFERENTIATION_VTAR_ID,0))</f>
        <v>Тариф на подключение (технологическое присоединение) к централизованной системе водоотведения</v>
      </c>
      <c r="G214" s="1413" t="str">
        <f>INDEX(PT_DIFFERENTIATION_NTAR,MATCH(B214,PT_DIFFERENTIATION_NTAR_ID,0))</f>
        <v/>
      </c>
      <c r="H214" s="760"/>
      <c r="I214" s="947"/>
      <c r="J214" s="973"/>
      <c r="K214" s="363"/>
      <c r="L214" s="760" t="s">
        <v>306</v>
      </c>
      <c r="M214" s="198"/>
      <c r="N214" s="193"/>
      <c r="O214" s="66"/>
      <c r="P214" s="66"/>
      <c r="AH214" s="10">
        <v>0</v>
      </c>
    </row>
    <row r="215" spans="1:34" s="10" customFormat="1" ht="18.75" hidden="1" customHeight="1">
      <c r="A215" s="33"/>
      <c r="B215" s="33"/>
      <c r="C215" s="3" t="s">
        <v>1144</v>
      </c>
      <c r="D215" s="1438"/>
      <c r="E215" s="1239"/>
      <c r="F215" s="1377"/>
      <c r="G215" s="1413"/>
      <c r="H215" s="821"/>
      <c r="I215" s="51" t="s">
        <v>1143</v>
      </c>
      <c r="J215" s="108"/>
      <c r="K215" s="821"/>
      <c r="L215" s="105"/>
      <c r="M215" s="198"/>
      <c r="N215" s="193"/>
      <c r="O215" s="66"/>
      <c r="P215" s="66"/>
      <c r="AH215" s="10">
        <v>0</v>
      </c>
    </row>
    <row r="216" spans="1:34" s="10" customFormat="1" ht="1.1499999999999999" customHeight="1">
      <c r="A216" s="33"/>
      <c r="B216" s="33"/>
      <c r="C216" s="3" t="s">
        <v>1153</v>
      </c>
      <c r="D216" s="1438"/>
      <c r="E216" s="1239"/>
      <c r="F216" s="1377"/>
      <c r="G216" s="224"/>
      <c r="H216" s="821"/>
      <c r="I216" s="51"/>
      <c r="J216" s="108"/>
      <c r="K216" s="821"/>
      <c r="L216" s="105"/>
      <c r="M216" s="198"/>
      <c r="N216" s="193"/>
      <c r="O216" s="66"/>
      <c r="P216" s="66"/>
      <c r="AH216" s="10">
        <v>1</v>
      </c>
    </row>
    <row r="217" spans="1:34" ht="27.4" customHeight="1">
      <c r="A217" s="33"/>
      <c r="B217" s="33"/>
      <c r="D217" s="27"/>
      <c r="E217" s="61" t="s">
        <v>109</v>
      </c>
      <c r="F217" s="143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7" s="1437"/>
      <c r="H217" s="1437"/>
      <c r="I217" s="1437"/>
      <c r="J217" s="1437"/>
      <c r="K217" s="1437"/>
      <c r="L217" s="1437"/>
      <c r="M217" s="111"/>
      <c r="N217" s="193"/>
      <c r="AH217" s="10">
        <v>26</v>
      </c>
    </row>
    <row r="218" spans="1:34" s="10" customFormat="1" ht="60.75" hidden="1" customHeight="1">
      <c r="A218" s="33" t="s">
        <v>153</v>
      </c>
      <c r="B218" s="33" t="s">
        <v>154</v>
      </c>
      <c r="C218" s="3"/>
      <c r="D218" s="1438"/>
      <c r="E218" s="1239"/>
      <c r="F218" s="1377" t="str">
        <f>INDEX(PT_DIFFERENTIATION_VTAR,MATCH(A218,PT_DIFFERENTIATION_VTAR_ID,0))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8" s="1413" t="str">
        <f>INDEX(PT_DIFFERENTIATION_NTAR,MATCH(B218,PT_DIFFERENTIATION_NTAR_ID,0))</f>
        <v/>
      </c>
      <c r="H218" s="760"/>
      <c r="I218" s="947"/>
      <c r="J218" s="973"/>
      <c r="K218" s="363"/>
      <c r="L218" s="760" t="s">
        <v>306</v>
      </c>
      <c r="M218" s="11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18" s="193"/>
      <c r="O218" s="66"/>
      <c r="P218" s="66"/>
      <c r="AH218" s="10">
        <v>0</v>
      </c>
    </row>
    <row r="219" spans="1:34" s="10" customFormat="1" ht="18.75" hidden="1" customHeight="1">
      <c r="A219" s="33"/>
      <c r="B219" s="33"/>
      <c r="C219" s="3" t="s">
        <v>1144</v>
      </c>
      <c r="D219" s="1438"/>
      <c r="E219" s="1239"/>
      <c r="F219" s="1377"/>
      <c r="G219" s="1413"/>
      <c r="H219" s="821"/>
      <c r="I219" s="51" t="s">
        <v>1143</v>
      </c>
      <c r="J219" s="108"/>
      <c r="K219" s="821"/>
      <c r="L219" s="105"/>
      <c r="M219" s="1191"/>
      <c r="N219" s="193"/>
      <c r="O219" s="66"/>
      <c r="P219" s="66"/>
      <c r="AH219" s="10">
        <v>0</v>
      </c>
    </row>
    <row r="220" spans="1:34" s="10" customFormat="1" ht="0.75" hidden="1" customHeight="1">
      <c r="A220" s="33"/>
      <c r="B220" s="33"/>
      <c r="C220" s="3" t="s">
        <v>1153</v>
      </c>
      <c r="D220" s="1438"/>
      <c r="E220" s="1239"/>
      <c r="F220" s="1377"/>
      <c r="G220" s="224"/>
      <c r="H220" s="821"/>
      <c r="I220" s="51"/>
      <c r="J220" s="108"/>
      <c r="K220" s="821"/>
      <c r="L220" s="105"/>
      <c r="M220" s="1191"/>
      <c r="N220" s="193"/>
      <c r="O220" s="66"/>
      <c r="P220" s="66"/>
      <c r="AH220" s="10">
        <v>0</v>
      </c>
    </row>
    <row r="221" spans="1:34" s="10" customFormat="1" ht="45" hidden="1" customHeight="1">
      <c r="A221" s="33" t="s">
        <v>158</v>
      </c>
      <c r="B221" s="33" t="s">
        <v>159</v>
      </c>
      <c r="C221" s="3"/>
      <c r="D221" s="1438"/>
      <c r="E221" s="1239"/>
      <c r="F221" s="1377" t="str">
        <f>INDEX(PT_DIFFERENTIATION_VTAR,MATCH(A221,PT_DIFFERENTIATION_VTAR_ID,0))</f>
        <v/>
      </c>
      <c r="G221" s="1413" t="str">
        <f>INDEX(PT_DIFFERENTIATION_NTAR,MATCH(B221,PT_DIFFERENTIATION_NTAR_ID,0))</f>
        <v/>
      </c>
      <c r="H221" s="760"/>
      <c r="I221" s="947"/>
      <c r="J221" s="973"/>
      <c r="K221" s="363"/>
      <c r="L221" s="760" t="s">
        <v>306</v>
      </c>
      <c r="M221" s="1192"/>
      <c r="N221" s="193"/>
      <c r="O221" s="66"/>
      <c r="P221" s="66"/>
      <c r="AH221" s="10">
        <v>0</v>
      </c>
    </row>
    <row r="222" spans="1:34" s="10" customFormat="1" ht="18.75" hidden="1" customHeight="1">
      <c r="A222" s="33"/>
      <c r="B222" s="33"/>
      <c r="C222" s="3" t="s">
        <v>1144</v>
      </c>
      <c r="D222" s="1438"/>
      <c r="E222" s="1239"/>
      <c r="F222" s="1377"/>
      <c r="G222" s="1413"/>
      <c r="H222" s="821"/>
      <c r="I222" s="51" t="s">
        <v>1143</v>
      </c>
      <c r="J222" s="108"/>
      <c r="K222" s="821"/>
      <c r="L222" s="105"/>
      <c r="M222" s="1005"/>
      <c r="N222" s="193"/>
      <c r="O222" s="66"/>
      <c r="P222" s="66"/>
      <c r="AH222" s="10">
        <v>0</v>
      </c>
    </row>
    <row r="223" spans="1:34" s="10" customFormat="1" ht="0.75" hidden="1" customHeight="1">
      <c r="A223" s="33"/>
      <c r="B223" s="33"/>
      <c r="C223" s="3" t="s">
        <v>1153</v>
      </c>
      <c r="D223" s="1438"/>
      <c r="E223" s="1239"/>
      <c r="F223" s="1377"/>
      <c r="G223" s="224"/>
      <c r="H223" s="821"/>
      <c r="I223" s="51"/>
      <c r="J223" s="108"/>
      <c r="K223" s="821"/>
      <c r="L223" s="105"/>
      <c r="M223" s="198"/>
      <c r="N223" s="193"/>
      <c r="O223" s="66"/>
      <c r="P223" s="66"/>
      <c r="AH223" s="10">
        <v>0</v>
      </c>
    </row>
    <row r="224" spans="1:34" s="10" customFormat="1" ht="45" hidden="1" customHeight="1">
      <c r="A224" s="33" t="s">
        <v>165</v>
      </c>
      <c r="B224" s="33" t="s">
        <v>166</v>
      </c>
      <c r="C224" s="3"/>
      <c r="D224" s="1438"/>
      <c r="E224" s="1239"/>
      <c r="F224" s="1377" t="str">
        <f>INDEX(PT_DIFFERENTIATION_VTAR,MATCH(A224,PT_DIFFERENTIATION_VTAR_ID,0))</f>
        <v>Тарифы на теплоноситель, поставляемый теплоснабжающими организациями потребителям, другим теплоснабжающим организациям</v>
      </c>
      <c r="G224" s="1413" t="str">
        <f>INDEX(PT_DIFFERENTIATION_NTAR,MATCH(B224,PT_DIFFERENTIATION_NTAR_ID,0))</f>
        <v/>
      </c>
      <c r="H224" s="760"/>
      <c r="I224" s="947"/>
      <c r="J224" s="973"/>
      <c r="K224" s="363"/>
      <c r="L224" s="760" t="s">
        <v>306</v>
      </c>
      <c r="M224" s="198"/>
      <c r="N224" s="193"/>
      <c r="O224" s="66"/>
      <c r="P224" s="66"/>
      <c r="AH224" s="10">
        <v>0</v>
      </c>
    </row>
    <row r="225" spans="1:34" s="10" customFormat="1" ht="18.75" hidden="1" customHeight="1">
      <c r="A225" s="33"/>
      <c r="B225" s="33"/>
      <c r="C225" s="3" t="s">
        <v>1144</v>
      </c>
      <c r="D225" s="1438"/>
      <c r="E225" s="1239"/>
      <c r="F225" s="1377"/>
      <c r="G225" s="1413"/>
      <c r="H225" s="821"/>
      <c r="I225" s="51" t="s">
        <v>1143</v>
      </c>
      <c r="J225" s="108"/>
      <c r="K225" s="821"/>
      <c r="L225" s="105"/>
      <c r="M225" s="198"/>
      <c r="N225" s="193"/>
      <c r="O225" s="66"/>
      <c r="P225" s="66"/>
      <c r="AH225" s="10">
        <v>0</v>
      </c>
    </row>
    <row r="226" spans="1:34" s="10" customFormat="1" ht="0.75" hidden="1" customHeight="1">
      <c r="A226" s="33"/>
      <c r="B226" s="33"/>
      <c r="C226" s="3" t="s">
        <v>1153</v>
      </c>
      <c r="D226" s="1438"/>
      <c r="E226" s="1239"/>
      <c r="F226" s="1377"/>
      <c r="G226" s="224"/>
      <c r="H226" s="821"/>
      <c r="I226" s="51"/>
      <c r="J226" s="108"/>
      <c r="K226" s="821"/>
      <c r="L226" s="105"/>
      <c r="M226" s="198"/>
      <c r="N226" s="193"/>
      <c r="O226" s="66"/>
      <c r="P226" s="66"/>
      <c r="AH226" s="10">
        <v>0</v>
      </c>
    </row>
    <row r="227" spans="1:34" s="10" customFormat="1" ht="45" hidden="1" customHeight="1">
      <c r="A227" s="33" t="s">
        <v>171</v>
      </c>
      <c r="B227" s="33" t="s">
        <v>172</v>
      </c>
      <c r="C227" s="3"/>
      <c r="D227" s="1438"/>
      <c r="E227" s="1239"/>
      <c r="F227" s="1377" t="str">
        <f>INDEX(PT_DIFFERENTIATION_VTAR,MATCH(A227,PT_DIFFERENTIATION_VTAR_ID,0))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7" s="1413" t="str">
        <f>INDEX(PT_DIFFERENTIATION_NTAR,MATCH(B227,PT_DIFFERENTIATION_NTAR_ID,0))</f>
        <v/>
      </c>
      <c r="H227" s="760"/>
      <c r="I227" s="947"/>
      <c r="J227" s="973"/>
      <c r="K227" s="363"/>
      <c r="L227" s="760" t="s">
        <v>306</v>
      </c>
      <c r="M227" s="198"/>
      <c r="N227" s="193"/>
      <c r="O227" s="66"/>
      <c r="P227" s="66"/>
      <c r="AH227" s="10">
        <v>0</v>
      </c>
    </row>
    <row r="228" spans="1:34" s="10" customFormat="1" ht="18.75" hidden="1" customHeight="1">
      <c r="A228" s="33"/>
      <c r="B228" s="33"/>
      <c r="C228" s="3" t="s">
        <v>1144</v>
      </c>
      <c r="D228" s="1438"/>
      <c r="E228" s="1239"/>
      <c r="F228" s="1377"/>
      <c r="G228" s="1413"/>
      <c r="H228" s="821"/>
      <c r="I228" s="51" t="s">
        <v>1143</v>
      </c>
      <c r="J228" s="108"/>
      <c r="K228" s="821"/>
      <c r="L228" s="105"/>
      <c r="M228" s="198"/>
      <c r="N228" s="193"/>
      <c r="O228" s="66"/>
      <c r="P228" s="66"/>
      <c r="AH228" s="10">
        <v>0</v>
      </c>
    </row>
    <row r="229" spans="1:34" s="10" customFormat="1" ht="0.75" hidden="1" customHeight="1">
      <c r="A229" s="33"/>
      <c r="B229" s="33"/>
      <c r="C229" s="3" t="s">
        <v>1153</v>
      </c>
      <c r="D229" s="1438"/>
      <c r="E229" s="1239"/>
      <c r="F229" s="1377"/>
      <c r="G229" s="224"/>
      <c r="H229" s="821"/>
      <c r="I229" s="51"/>
      <c r="J229" s="108"/>
      <c r="K229" s="821"/>
      <c r="L229" s="105"/>
      <c r="M229" s="198"/>
      <c r="N229" s="193"/>
      <c r="O229" s="66"/>
      <c r="P229" s="66"/>
      <c r="AH229" s="10">
        <v>0</v>
      </c>
    </row>
    <row r="230" spans="1:34" s="10" customFormat="1" ht="18.75" hidden="1" customHeight="1">
      <c r="A230" s="33" t="s">
        <v>177</v>
      </c>
      <c r="B230" s="33" t="s">
        <v>178</v>
      </c>
      <c r="C230" s="3"/>
      <c r="D230" s="1438"/>
      <c r="E230" s="1239"/>
      <c r="F230" s="1377" t="str">
        <f>INDEX(PT_DIFFERENTIATION_VTAR,MATCH(A230,PT_DIFFERENTIATION_VTAR_ID,0))</f>
        <v>Тарифы на услуги по передаче тепловой энергии</v>
      </c>
      <c r="G230" s="1413" t="str">
        <f>INDEX(PT_DIFFERENTIATION_NTAR,MATCH(B230,PT_DIFFERENTIATION_NTAR_ID,0))</f>
        <v/>
      </c>
      <c r="H230" s="760"/>
      <c r="I230" s="947"/>
      <c r="J230" s="973"/>
      <c r="K230" s="363"/>
      <c r="L230" s="760" t="s">
        <v>306</v>
      </c>
      <c r="M230" s="198"/>
      <c r="N230" s="193"/>
      <c r="O230" s="66"/>
      <c r="P230" s="66"/>
      <c r="AH230" s="10">
        <v>0</v>
      </c>
    </row>
    <row r="231" spans="1:34" s="10" customFormat="1" ht="18.75" hidden="1" customHeight="1">
      <c r="A231" s="33"/>
      <c r="B231" s="33"/>
      <c r="C231" s="3" t="s">
        <v>1144</v>
      </c>
      <c r="D231" s="1438"/>
      <c r="E231" s="1239"/>
      <c r="F231" s="1377"/>
      <c r="G231" s="1413"/>
      <c r="H231" s="821"/>
      <c r="I231" s="51" t="s">
        <v>1143</v>
      </c>
      <c r="J231" s="108"/>
      <c r="K231" s="821"/>
      <c r="L231" s="105"/>
      <c r="M231" s="198"/>
      <c r="N231" s="193"/>
      <c r="O231" s="66"/>
      <c r="P231" s="66"/>
      <c r="AH231" s="10">
        <v>0</v>
      </c>
    </row>
    <row r="232" spans="1:34" s="10" customFormat="1" ht="0.75" hidden="1" customHeight="1">
      <c r="A232" s="33"/>
      <c r="B232" s="33"/>
      <c r="C232" s="3" t="s">
        <v>1153</v>
      </c>
      <c r="D232" s="1438"/>
      <c r="E232" s="1239"/>
      <c r="F232" s="1377"/>
      <c r="G232" s="224"/>
      <c r="H232" s="821"/>
      <c r="I232" s="51"/>
      <c r="J232" s="108"/>
      <c r="K232" s="821"/>
      <c r="L232" s="105"/>
      <c r="M232" s="198"/>
      <c r="N232" s="193"/>
      <c r="O232" s="66"/>
      <c r="P232" s="66"/>
      <c r="AH232" s="10">
        <v>0</v>
      </c>
    </row>
    <row r="233" spans="1:34" s="10" customFormat="1" ht="18.75" hidden="1" customHeight="1">
      <c r="A233" s="33" t="s">
        <v>183</v>
      </c>
      <c r="B233" s="33" t="s">
        <v>184</v>
      </c>
      <c r="C233" s="3"/>
      <c r="D233" s="1438"/>
      <c r="E233" s="1239"/>
      <c r="F233" s="1377" t="str">
        <f>INDEX(PT_DIFFERENTIATION_VTAR,MATCH(A233,PT_DIFFERENTIATION_VTAR_ID,0))</f>
        <v>Тарифы на услуги по передаче теплоносителя</v>
      </c>
      <c r="G233" s="1413" t="str">
        <f>INDEX(PT_DIFFERENTIATION_NTAR,MATCH(B233,PT_DIFFERENTIATION_NTAR_ID,0))</f>
        <v/>
      </c>
      <c r="H233" s="760"/>
      <c r="I233" s="947"/>
      <c r="J233" s="973"/>
      <c r="K233" s="363"/>
      <c r="L233" s="760" t="s">
        <v>306</v>
      </c>
      <c r="M233" s="198"/>
      <c r="N233" s="193"/>
      <c r="O233" s="66"/>
      <c r="P233" s="66"/>
      <c r="AH233" s="10">
        <v>0</v>
      </c>
    </row>
    <row r="234" spans="1:34" s="10" customFormat="1" ht="18.75" hidden="1" customHeight="1">
      <c r="A234" s="33"/>
      <c r="B234" s="33"/>
      <c r="C234" s="3" t="s">
        <v>1144</v>
      </c>
      <c r="D234" s="1438"/>
      <c r="E234" s="1239"/>
      <c r="F234" s="1377"/>
      <c r="G234" s="1413"/>
      <c r="H234" s="821"/>
      <c r="I234" s="51" t="s">
        <v>1143</v>
      </c>
      <c r="J234" s="108"/>
      <c r="K234" s="821"/>
      <c r="L234" s="105"/>
      <c r="M234" s="198"/>
      <c r="N234" s="193"/>
      <c r="O234" s="66"/>
      <c r="P234" s="66"/>
      <c r="AH234" s="10">
        <v>0</v>
      </c>
    </row>
    <row r="235" spans="1:34" s="10" customFormat="1" ht="0.75" hidden="1" customHeight="1">
      <c r="A235" s="33"/>
      <c r="B235" s="33"/>
      <c r="C235" s="3" t="s">
        <v>1153</v>
      </c>
      <c r="D235" s="1438"/>
      <c r="E235" s="1239"/>
      <c r="F235" s="1377"/>
      <c r="G235" s="224"/>
      <c r="H235" s="821"/>
      <c r="I235" s="51"/>
      <c r="J235" s="108"/>
      <c r="K235" s="821"/>
      <c r="L235" s="105"/>
      <c r="M235" s="198"/>
      <c r="N235" s="193"/>
      <c r="O235" s="66"/>
      <c r="P235" s="66"/>
      <c r="AH235" s="10">
        <v>0</v>
      </c>
    </row>
    <row r="236" spans="1:34" s="10" customFormat="1" ht="18.75" hidden="1" customHeight="1">
      <c r="A236" s="33" t="s">
        <v>189</v>
      </c>
      <c r="B236" s="33" t="s">
        <v>190</v>
      </c>
      <c r="C236" s="3"/>
      <c r="D236" s="1438"/>
      <c r="E236" s="1239"/>
      <c r="F236" s="1377" t="str">
        <f>INDEX(PT_DIFFERENTIATION_VTAR,MATCH(A236,PT_DIFFERENTIATION_VTAR_ID,0))</f>
        <v>Плата за услуги по поддержанию резервной тепловой мощности при отсутствии потребления тепловой энергии</v>
      </c>
      <c r="G236" s="1413" t="str">
        <f>INDEX(PT_DIFFERENTIATION_NTAR,MATCH(B236,PT_DIFFERENTIATION_NTAR_ID,0))</f>
        <v/>
      </c>
      <c r="H236" s="760"/>
      <c r="I236" s="947"/>
      <c r="J236" s="973"/>
      <c r="K236" s="363"/>
      <c r="L236" s="760" t="s">
        <v>306</v>
      </c>
      <c r="M236" s="198"/>
      <c r="N236" s="193"/>
      <c r="O236" s="66"/>
      <c r="P236" s="66"/>
      <c r="AH236" s="10">
        <v>0</v>
      </c>
    </row>
    <row r="237" spans="1:34" s="10" customFormat="1" ht="18.75" hidden="1" customHeight="1">
      <c r="A237" s="33"/>
      <c r="B237" s="33"/>
      <c r="C237" s="3" t="s">
        <v>1144</v>
      </c>
      <c r="D237" s="1438"/>
      <c r="E237" s="1239"/>
      <c r="F237" s="1377"/>
      <c r="G237" s="1413"/>
      <c r="H237" s="821"/>
      <c r="I237" s="51" t="s">
        <v>1143</v>
      </c>
      <c r="J237" s="108"/>
      <c r="K237" s="821"/>
      <c r="L237" s="105"/>
      <c r="M237" s="198"/>
      <c r="N237" s="193"/>
      <c r="O237" s="66"/>
      <c r="P237" s="66"/>
      <c r="AH237" s="10">
        <v>0</v>
      </c>
    </row>
    <row r="238" spans="1:34" s="10" customFormat="1" ht="0.75" hidden="1" customHeight="1">
      <c r="A238" s="33"/>
      <c r="B238" s="33"/>
      <c r="C238" s="3" t="s">
        <v>1153</v>
      </c>
      <c r="D238" s="1438"/>
      <c r="E238" s="1239"/>
      <c r="F238" s="1377"/>
      <c r="G238" s="224"/>
      <c r="H238" s="821"/>
      <c r="I238" s="51"/>
      <c r="J238" s="108"/>
      <c r="K238" s="821"/>
      <c r="L238" s="105"/>
      <c r="M238" s="198"/>
      <c r="N238" s="193"/>
      <c r="O238" s="66"/>
      <c r="P238" s="66"/>
      <c r="AH238" s="10">
        <v>0</v>
      </c>
    </row>
    <row r="239" spans="1:34" s="10" customFormat="1" ht="18.75" hidden="1" customHeight="1">
      <c r="A239" s="33" t="s">
        <v>195</v>
      </c>
      <c r="B239" s="33" t="s">
        <v>196</v>
      </c>
      <c r="C239" s="3"/>
      <c r="D239" s="1438"/>
      <c r="E239" s="1239"/>
      <c r="F239" s="1377" t="str">
        <f>INDEX(PT_DIFFERENTIATION_VTAR,MATCH(A239,PT_DIFFERENTIATION_VTAR_ID,0))</f>
        <v>Плата за подключение (технологическое присоединение) к системе теплоснабжения</v>
      </c>
      <c r="G239" s="1413" t="str">
        <f>INDEX(PT_DIFFERENTIATION_NTAR,MATCH(B239,PT_DIFFERENTIATION_NTAR_ID,0))</f>
        <v/>
      </c>
      <c r="H239" s="760"/>
      <c r="I239" s="947"/>
      <c r="J239" s="973"/>
      <c r="K239" s="363"/>
      <c r="L239" s="760" t="s">
        <v>306</v>
      </c>
      <c r="M239" s="198"/>
      <c r="N239" s="193"/>
      <c r="O239" s="66"/>
      <c r="P239" s="66"/>
      <c r="AH239" s="10">
        <v>0</v>
      </c>
    </row>
    <row r="240" spans="1:34" s="10" customFormat="1" ht="18.75" hidden="1" customHeight="1">
      <c r="A240" s="33"/>
      <c r="B240" s="33"/>
      <c r="C240" s="3" t="s">
        <v>1144</v>
      </c>
      <c r="D240" s="1438"/>
      <c r="E240" s="1239"/>
      <c r="F240" s="1377"/>
      <c r="G240" s="1413"/>
      <c r="H240" s="821"/>
      <c r="I240" s="51" t="s">
        <v>1143</v>
      </c>
      <c r="J240" s="108"/>
      <c r="K240" s="821"/>
      <c r="L240" s="105"/>
      <c r="M240" s="198"/>
      <c r="N240" s="193"/>
      <c r="O240" s="66"/>
      <c r="P240" s="66"/>
      <c r="AH240" s="10">
        <v>0</v>
      </c>
    </row>
    <row r="241" spans="1:34" s="10" customFormat="1" ht="0.75" hidden="1" customHeight="1">
      <c r="A241" s="33"/>
      <c r="B241" s="33"/>
      <c r="C241" s="3" t="s">
        <v>1153</v>
      </c>
      <c r="D241" s="1438"/>
      <c r="E241" s="1239"/>
      <c r="F241" s="1377"/>
      <c r="G241" s="224"/>
      <c r="H241" s="821"/>
      <c r="I241" s="51"/>
      <c r="J241" s="108"/>
      <c r="K241" s="821"/>
      <c r="L241" s="105"/>
      <c r="M241" s="198"/>
      <c r="N241" s="193"/>
      <c r="O241" s="66"/>
      <c r="P241" s="66"/>
      <c r="AH241" s="10">
        <v>0</v>
      </c>
    </row>
    <row r="242" spans="1:34" s="10" customFormat="1" ht="18.75" hidden="1" customHeight="1">
      <c r="A242" s="33" t="s">
        <v>201</v>
      </c>
      <c r="B242" s="33" t="s">
        <v>202</v>
      </c>
      <c r="C242" s="3"/>
      <c r="D242" s="1438"/>
      <c r="E242" s="1239"/>
      <c r="F242" s="1377" t="str">
        <f>INDEX(PT_DIFFERENTIATION_VTAR,MATCH(A242,PT_DIFFERENTIATION_VTAR_ID,0))</f>
        <v>Плата за подключение (технологическое присоединение) к системе теплоснабжения (индивидуальная)</v>
      </c>
      <c r="G242" s="1413" t="str">
        <f>INDEX(PT_DIFFERENTIATION_NTAR,MATCH(B242,PT_DIFFERENTIATION_NTAR_ID,0))</f>
        <v/>
      </c>
      <c r="H242" s="760"/>
      <c r="I242" s="947"/>
      <c r="J242" s="973"/>
      <c r="K242" s="363"/>
      <c r="L242" s="760" t="s">
        <v>306</v>
      </c>
      <c r="M242" s="198"/>
      <c r="N242" s="193"/>
      <c r="O242" s="66"/>
      <c r="P242" s="66"/>
      <c r="AH242" s="10">
        <v>0</v>
      </c>
    </row>
    <row r="243" spans="1:34" s="10" customFormat="1" ht="18.75" hidden="1" customHeight="1">
      <c r="A243" s="33"/>
      <c r="B243" s="33"/>
      <c r="C243" s="3" t="s">
        <v>1144</v>
      </c>
      <c r="D243" s="1438"/>
      <c r="E243" s="1239"/>
      <c r="F243" s="1377"/>
      <c r="G243" s="1413"/>
      <c r="H243" s="821"/>
      <c r="I243" s="51" t="s">
        <v>1143</v>
      </c>
      <c r="J243" s="108"/>
      <c r="K243" s="821"/>
      <c r="L243" s="105"/>
      <c r="M243" s="198"/>
      <c r="N243" s="193"/>
      <c r="O243" s="66"/>
      <c r="P243" s="66"/>
      <c r="AH243" s="10">
        <v>0</v>
      </c>
    </row>
    <row r="244" spans="1:34" s="10" customFormat="1" ht="0.75" hidden="1" customHeight="1">
      <c r="A244" s="33"/>
      <c r="B244" s="33"/>
      <c r="C244" s="3" t="s">
        <v>1153</v>
      </c>
      <c r="D244" s="1438"/>
      <c r="E244" s="1239"/>
      <c r="F244" s="1377"/>
      <c r="G244" s="224"/>
      <c r="H244" s="821"/>
      <c r="I244" s="51"/>
      <c r="J244" s="108"/>
      <c r="K244" s="821"/>
      <c r="L244" s="105"/>
      <c r="M244" s="198"/>
      <c r="N244" s="193"/>
      <c r="O244" s="66"/>
      <c r="P244" s="66"/>
      <c r="AH244" s="10">
        <v>0</v>
      </c>
    </row>
    <row r="245" spans="1:34" s="10" customFormat="1" ht="18.75" hidden="1" customHeight="1">
      <c r="A245" s="33" t="s">
        <v>221</v>
      </c>
      <c r="B245" s="33" t="s">
        <v>222</v>
      </c>
      <c r="C245" s="3"/>
      <c r="D245" s="1438"/>
      <c r="E245" s="1239"/>
      <c r="F245" s="1377" t="str">
        <f>INDEX(PT_DIFFERENTIATION_VTAR,MATCH(A245,PT_DIFFERENTIATION_VTAR_ID,0))</f>
        <v>Тариф на питьевую воду (питьевое водоснабжение)</v>
      </c>
      <c r="G245" s="1413" t="str">
        <f>INDEX(PT_DIFFERENTIATION_NTAR,MATCH(B245,PT_DIFFERENTIATION_NTAR_ID,0))</f>
        <v/>
      </c>
      <c r="H245" s="760"/>
      <c r="I245" s="947"/>
      <c r="J245" s="973"/>
      <c r="K245" s="363"/>
      <c r="L245" s="760" t="s">
        <v>306</v>
      </c>
      <c r="M245" s="198"/>
      <c r="N245" s="193"/>
      <c r="O245" s="66"/>
      <c r="P245" s="66"/>
      <c r="AH245" s="10">
        <v>0</v>
      </c>
    </row>
    <row r="246" spans="1:34" s="10" customFormat="1" ht="18.75" hidden="1" customHeight="1">
      <c r="A246" s="33"/>
      <c r="B246" s="33"/>
      <c r="C246" s="3" t="s">
        <v>1144</v>
      </c>
      <c r="D246" s="1438"/>
      <c r="E246" s="1239"/>
      <c r="F246" s="1377"/>
      <c r="G246" s="1413"/>
      <c r="H246" s="821"/>
      <c r="I246" s="51" t="s">
        <v>1143</v>
      </c>
      <c r="J246" s="108"/>
      <c r="K246" s="821"/>
      <c r="L246" s="105"/>
      <c r="M246" s="198"/>
      <c r="N246" s="193"/>
      <c r="O246" s="66"/>
      <c r="P246" s="66"/>
      <c r="AH246" s="10">
        <v>0</v>
      </c>
    </row>
    <row r="247" spans="1:34" s="10" customFormat="1" ht="0.75" hidden="1" customHeight="1">
      <c r="A247" s="33"/>
      <c r="B247" s="33"/>
      <c r="C247" s="3" t="s">
        <v>1153</v>
      </c>
      <c r="D247" s="1438"/>
      <c r="E247" s="1239"/>
      <c r="F247" s="1377"/>
      <c r="G247" s="224"/>
      <c r="H247" s="821"/>
      <c r="I247" s="51"/>
      <c r="J247" s="108"/>
      <c r="K247" s="821"/>
      <c r="L247" s="105"/>
      <c r="M247" s="198"/>
      <c r="N247" s="193"/>
      <c r="O247" s="66"/>
      <c r="P247" s="66"/>
      <c r="AH247" s="10">
        <v>0</v>
      </c>
    </row>
    <row r="248" spans="1:34" s="10" customFormat="1" ht="18.75" customHeight="1">
      <c r="A248" s="33" t="s">
        <v>227</v>
      </c>
      <c r="B248" s="33" t="s">
        <v>228</v>
      </c>
      <c r="C248" s="3"/>
      <c r="D248" s="1438"/>
      <c r="E248" s="1239"/>
      <c r="F248" s="1377" t="str">
        <f>INDEX(PT_DIFFERENTIATION_VTAR,MATCH(A248,PT_DIFFERENTIATION_VTAR_ID,0))</f>
        <v>Тариф на техническую воду</v>
      </c>
      <c r="G248" s="1413" t="str">
        <f>INDEX(PT_DIFFERENTIATION_NTAR,MATCH(B248,PT_DIFFERENTIATION_NTAR_ID,0))</f>
        <v>Тариф на техническую воду</v>
      </c>
      <c r="H248" s="760"/>
      <c r="I248" s="947">
        <v>46023</v>
      </c>
      <c r="J248" s="973">
        <v>46387</v>
      </c>
      <c r="K248" s="363">
        <v>0</v>
      </c>
      <c r="L248" s="760" t="s">
        <v>306</v>
      </c>
      <c r="M248" s="198"/>
      <c r="N248" s="193"/>
      <c r="O248" s="66"/>
      <c r="P248" s="66"/>
      <c r="AH248" s="10">
        <v>0</v>
      </c>
    </row>
    <row r="249" spans="1:34" s="10" customFormat="1" ht="13.5" customHeight="1">
      <c r="A249" s="33"/>
      <c r="B249" s="33"/>
      <c r="C249" s="3"/>
      <c r="D249" s="1447"/>
      <c r="E249" s="1446"/>
      <c r="F249" s="1446"/>
      <c r="G249" s="1446"/>
      <c r="H249" s="38" t="s">
        <v>493</v>
      </c>
      <c r="I249" s="947">
        <v>46388</v>
      </c>
      <c r="J249" s="973">
        <v>46752</v>
      </c>
      <c r="K249" s="363">
        <v>0</v>
      </c>
      <c r="L249" s="760" t="s">
        <v>306</v>
      </c>
      <c r="M249" s="1013"/>
      <c r="N249" s="193"/>
      <c r="O249" s="66"/>
      <c r="P249" s="66"/>
      <c r="AH249" s="10">
        <v>0</v>
      </c>
    </row>
    <row r="250" spans="1:34" s="10" customFormat="1" ht="13.5" customHeight="1">
      <c r="A250" s="33"/>
      <c r="B250" s="33"/>
      <c r="C250" s="3"/>
      <c r="D250" s="1447"/>
      <c r="E250" s="1446"/>
      <c r="F250" s="1446"/>
      <c r="G250" s="1446"/>
      <c r="H250" s="38" t="s">
        <v>493</v>
      </c>
      <c r="I250" s="947">
        <v>46753</v>
      </c>
      <c r="J250" s="973">
        <v>47118</v>
      </c>
      <c r="K250" s="363">
        <v>0</v>
      </c>
      <c r="L250" s="760" t="s">
        <v>306</v>
      </c>
      <c r="M250" s="1013"/>
      <c r="N250" s="193"/>
      <c r="O250" s="66"/>
      <c r="P250" s="66"/>
      <c r="AH250" s="10">
        <v>0</v>
      </c>
    </row>
    <row r="251" spans="1:34" s="10" customFormat="1" ht="13.5" customHeight="1">
      <c r="A251" s="33"/>
      <c r="B251" s="33"/>
      <c r="C251" s="3"/>
      <c r="D251" s="1447"/>
      <c r="E251" s="1446"/>
      <c r="F251" s="1446"/>
      <c r="G251" s="1446"/>
      <c r="H251" s="38" t="s">
        <v>493</v>
      </c>
      <c r="I251" s="947">
        <v>47119</v>
      </c>
      <c r="J251" s="973">
        <v>47483</v>
      </c>
      <c r="K251" s="363">
        <v>0</v>
      </c>
      <c r="L251" s="760" t="s">
        <v>306</v>
      </c>
      <c r="M251" s="1013"/>
      <c r="N251" s="193"/>
      <c r="O251" s="66"/>
      <c r="P251" s="66"/>
      <c r="AH251" s="10">
        <v>0</v>
      </c>
    </row>
    <row r="252" spans="1:34" s="10" customFormat="1" ht="18.75" customHeight="1">
      <c r="A252" s="33"/>
      <c r="B252" s="33"/>
      <c r="C252" s="3" t="s">
        <v>1144</v>
      </c>
      <c r="D252" s="1438"/>
      <c r="E252" s="1239"/>
      <c r="F252" s="1377"/>
      <c r="G252" s="1413"/>
      <c r="H252" s="821"/>
      <c r="I252" s="51" t="s">
        <v>1143</v>
      </c>
      <c r="J252" s="108"/>
      <c r="K252" s="821"/>
      <c r="L252" s="105"/>
      <c r="M252" s="198"/>
      <c r="N252" s="193"/>
      <c r="O252" s="66"/>
      <c r="P252" s="66"/>
      <c r="AH252" s="10">
        <v>0</v>
      </c>
    </row>
    <row r="253" spans="1:34" s="10" customFormat="1" ht="0.75" customHeight="1">
      <c r="A253" s="33"/>
      <c r="B253" s="33"/>
      <c r="C253" s="3" t="s">
        <v>1153</v>
      </c>
      <c r="D253" s="1438"/>
      <c r="E253" s="1239"/>
      <c r="F253" s="1377"/>
      <c r="G253" s="224"/>
      <c r="H253" s="821"/>
      <c r="I253" s="51"/>
      <c r="J253" s="108"/>
      <c r="K253" s="821"/>
      <c r="L253" s="105"/>
      <c r="M253" s="198"/>
      <c r="N253" s="193"/>
      <c r="O253" s="66"/>
      <c r="P253" s="66"/>
      <c r="AH253" s="10">
        <v>0</v>
      </c>
    </row>
    <row r="254" spans="1:34" s="10" customFormat="1" ht="18.75" hidden="1" customHeight="1">
      <c r="A254" s="33" t="s">
        <v>235</v>
      </c>
      <c r="B254" s="33" t="s">
        <v>236</v>
      </c>
      <c r="C254" s="3"/>
      <c r="D254" s="1438"/>
      <c r="E254" s="1239"/>
      <c r="F254" s="1377" t="str">
        <f>INDEX(PT_DIFFERENTIATION_VTAR,MATCH(A254,PT_DIFFERENTIATION_VTAR_ID,0))</f>
        <v>Тариф на транспортировку воды</v>
      </c>
      <c r="G254" s="1413" t="str">
        <f>INDEX(PT_DIFFERENTIATION_NTAR,MATCH(B254,PT_DIFFERENTIATION_NTAR_ID,0))</f>
        <v/>
      </c>
      <c r="H254" s="760"/>
      <c r="I254" s="947"/>
      <c r="J254" s="973"/>
      <c r="K254" s="363"/>
      <c r="L254" s="760" t="s">
        <v>306</v>
      </c>
      <c r="M254" s="198"/>
      <c r="N254" s="193"/>
      <c r="O254" s="66"/>
      <c r="P254" s="66"/>
      <c r="AH254" s="10">
        <v>0</v>
      </c>
    </row>
    <row r="255" spans="1:34" s="10" customFormat="1" ht="18.75" hidden="1" customHeight="1">
      <c r="A255" s="33"/>
      <c r="B255" s="33"/>
      <c r="C255" s="3" t="s">
        <v>1144</v>
      </c>
      <c r="D255" s="1438"/>
      <c r="E255" s="1239"/>
      <c r="F255" s="1377"/>
      <c r="G255" s="1413"/>
      <c r="H255" s="821"/>
      <c r="I255" s="51" t="s">
        <v>1143</v>
      </c>
      <c r="J255" s="108"/>
      <c r="K255" s="821"/>
      <c r="L255" s="105"/>
      <c r="M255" s="198"/>
      <c r="N255" s="193"/>
      <c r="O255" s="66"/>
      <c r="P255" s="66"/>
      <c r="AH255" s="10">
        <v>0</v>
      </c>
    </row>
    <row r="256" spans="1:34" s="10" customFormat="1" ht="0.75" hidden="1" customHeight="1">
      <c r="A256" s="33"/>
      <c r="B256" s="33"/>
      <c r="C256" s="3" t="s">
        <v>1153</v>
      </c>
      <c r="D256" s="1438"/>
      <c r="E256" s="1239"/>
      <c r="F256" s="1377"/>
      <c r="G256" s="224"/>
      <c r="H256" s="821"/>
      <c r="I256" s="51"/>
      <c r="J256" s="108"/>
      <c r="K256" s="821"/>
      <c r="L256" s="105"/>
      <c r="M256" s="198"/>
      <c r="N256" s="193"/>
      <c r="O256" s="66"/>
      <c r="P256" s="66"/>
      <c r="AH256" s="10">
        <v>0</v>
      </c>
    </row>
    <row r="257" spans="1:34" s="10" customFormat="1" ht="18.75" hidden="1" customHeight="1">
      <c r="A257" s="33" t="s">
        <v>240</v>
      </c>
      <c r="B257" s="33" t="s">
        <v>241</v>
      </c>
      <c r="C257" s="3"/>
      <c r="D257" s="1438"/>
      <c r="E257" s="1239"/>
      <c r="F257" s="1377" t="str">
        <f>INDEX(PT_DIFFERENTIATION_VTAR,MATCH(A257,PT_DIFFERENTIATION_VTAR_ID,0))</f>
        <v>Тариф на подвоз воды</v>
      </c>
      <c r="G257" s="1413" t="str">
        <f>INDEX(PT_DIFFERENTIATION_NTAR,MATCH(B257,PT_DIFFERENTIATION_NTAR_ID,0))</f>
        <v/>
      </c>
      <c r="H257" s="760"/>
      <c r="I257" s="947"/>
      <c r="J257" s="973"/>
      <c r="K257" s="363"/>
      <c r="L257" s="760" t="s">
        <v>306</v>
      </c>
      <c r="M257" s="198"/>
      <c r="N257" s="193"/>
      <c r="O257" s="66"/>
      <c r="P257" s="66"/>
      <c r="AH257" s="10">
        <v>0</v>
      </c>
    </row>
    <row r="258" spans="1:34" s="10" customFormat="1" ht="18.75" hidden="1" customHeight="1">
      <c r="A258" s="33"/>
      <c r="B258" s="33"/>
      <c r="C258" s="3" t="s">
        <v>1144</v>
      </c>
      <c r="D258" s="1438"/>
      <c r="E258" s="1239"/>
      <c r="F258" s="1377"/>
      <c r="G258" s="1413"/>
      <c r="H258" s="821"/>
      <c r="I258" s="51" t="s">
        <v>1143</v>
      </c>
      <c r="J258" s="108"/>
      <c r="K258" s="821"/>
      <c r="L258" s="105"/>
      <c r="M258" s="198"/>
      <c r="N258" s="193"/>
      <c r="O258" s="66"/>
      <c r="P258" s="66"/>
      <c r="AH258" s="10">
        <v>0</v>
      </c>
    </row>
    <row r="259" spans="1:34" s="10" customFormat="1" ht="0.75" hidden="1" customHeight="1">
      <c r="A259" s="33"/>
      <c r="B259" s="33"/>
      <c r="C259" s="3" t="s">
        <v>1153</v>
      </c>
      <c r="D259" s="1438"/>
      <c r="E259" s="1239"/>
      <c r="F259" s="1377"/>
      <c r="G259" s="224"/>
      <c r="H259" s="821"/>
      <c r="I259" s="51"/>
      <c r="J259" s="108"/>
      <c r="K259" s="821"/>
      <c r="L259" s="105"/>
      <c r="M259" s="198"/>
      <c r="N259" s="193"/>
      <c r="O259" s="66"/>
      <c r="P259" s="66"/>
      <c r="AH259" s="10">
        <v>0</v>
      </c>
    </row>
    <row r="260" spans="1:34" s="10" customFormat="1" ht="18.75" hidden="1" customHeight="1">
      <c r="A260" s="33" t="s">
        <v>245</v>
      </c>
      <c r="B260" s="33" t="s">
        <v>246</v>
      </c>
      <c r="C260" s="3"/>
      <c r="D260" s="1438"/>
      <c r="E260" s="1239"/>
      <c r="F260" s="1377" t="str">
        <f>INDEX(PT_DIFFERENTIATION_VTAR,MATCH(A260,PT_DIFFERENTIATION_VTAR_ID,0))</f>
        <v>Тариф на подключение (технологическое присоединение) к централизованной системе холодного водоснабжения</v>
      </c>
      <c r="G260" s="1413" t="str">
        <f>INDEX(PT_DIFFERENTIATION_NTAR,MATCH(B260,PT_DIFFERENTIATION_NTAR_ID,0))</f>
        <v/>
      </c>
      <c r="H260" s="760"/>
      <c r="I260" s="947"/>
      <c r="J260" s="973"/>
      <c r="K260" s="363"/>
      <c r="L260" s="760" t="s">
        <v>306</v>
      </c>
      <c r="M260" s="198"/>
      <c r="N260" s="193"/>
      <c r="O260" s="66"/>
      <c r="P260" s="66"/>
      <c r="AH260" s="10">
        <v>0</v>
      </c>
    </row>
    <row r="261" spans="1:34" s="10" customFormat="1" ht="18.75" hidden="1" customHeight="1">
      <c r="A261" s="33"/>
      <c r="B261" s="33"/>
      <c r="C261" s="3" t="s">
        <v>1144</v>
      </c>
      <c r="D261" s="1438"/>
      <c r="E261" s="1239"/>
      <c r="F261" s="1377"/>
      <c r="G261" s="1413"/>
      <c r="H261" s="821"/>
      <c r="I261" s="51" t="s">
        <v>1143</v>
      </c>
      <c r="J261" s="108"/>
      <c r="K261" s="821"/>
      <c r="L261" s="105"/>
      <c r="M261" s="198"/>
      <c r="N261" s="193"/>
      <c r="O261" s="66"/>
      <c r="P261" s="66"/>
      <c r="AH261" s="10">
        <v>0</v>
      </c>
    </row>
    <row r="262" spans="1:34" s="10" customFormat="1" ht="0.75" hidden="1" customHeight="1">
      <c r="A262" s="33"/>
      <c r="B262" s="33"/>
      <c r="C262" s="3" t="s">
        <v>1153</v>
      </c>
      <c r="D262" s="1438"/>
      <c r="E262" s="1239"/>
      <c r="F262" s="1377"/>
      <c r="G262" s="224"/>
      <c r="H262" s="821"/>
      <c r="I262" s="51"/>
      <c r="J262" s="108"/>
      <c r="K262" s="821"/>
      <c r="L262" s="105"/>
      <c r="M262" s="198"/>
      <c r="N262" s="193"/>
      <c r="O262" s="66"/>
      <c r="P262" s="66"/>
      <c r="AH262" s="10">
        <v>0</v>
      </c>
    </row>
    <row r="263" spans="1:34" s="10" customFormat="1" ht="18.75" hidden="1" customHeight="1">
      <c r="A263" s="33" t="s">
        <v>250</v>
      </c>
      <c r="B263" s="33" t="s">
        <v>251</v>
      </c>
      <c r="C263" s="3"/>
      <c r="D263" s="1438"/>
      <c r="E263" s="1239"/>
      <c r="F263" s="1377" t="str">
        <f>INDEX(PT_DIFFERENTIATION_VTAR,MATCH(A263,PT_DIFFERENTIATION_VTAR_ID,0))</f>
        <v>Тариф на горячую воду (горячее водоснабжение)</v>
      </c>
      <c r="G263" s="1413" t="str">
        <f>INDEX(PT_DIFFERENTIATION_NTAR,MATCH(B263,PT_DIFFERENTIATION_NTAR_ID,0))</f>
        <v/>
      </c>
      <c r="H263" s="760"/>
      <c r="I263" s="947"/>
      <c r="J263" s="973"/>
      <c r="K263" s="363"/>
      <c r="L263" s="760" t="s">
        <v>306</v>
      </c>
      <c r="M263" s="198"/>
      <c r="N263" s="193"/>
      <c r="O263" s="66"/>
      <c r="P263" s="66"/>
      <c r="AH263" s="10">
        <v>0</v>
      </c>
    </row>
    <row r="264" spans="1:34" s="10" customFormat="1" ht="18.75" hidden="1" customHeight="1">
      <c r="A264" s="33"/>
      <c r="B264" s="33"/>
      <c r="C264" s="3" t="s">
        <v>1144</v>
      </c>
      <c r="D264" s="1438"/>
      <c r="E264" s="1239"/>
      <c r="F264" s="1377"/>
      <c r="G264" s="1413"/>
      <c r="H264" s="821"/>
      <c r="I264" s="51" t="s">
        <v>1143</v>
      </c>
      <c r="J264" s="108"/>
      <c r="K264" s="821"/>
      <c r="L264" s="105"/>
      <c r="M264" s="198"/>
      <c r="N264" s="193"/>
      <c r="O264" s="66"/>
      <c r="P264" s="66"/>
      <c r="AH264" s="10">
        <v>0</v>
      </c>
    </row>
    <row r="265" spans="1:34" s="10" customFormat="1" ht="0.75" hidden="1" customHeight="1">
      <c r="A265" s="33"/>
      <c r="B265" s="33"/>
      <c r="C265" s="3" t="s">
        <v>1153</v>
      </c>
      <c r="D265" s="1438"/>
      <c r="E265" s="1239"/>
      <c r="F265" s="1377"/>
      <c r="G265" s="224"/>
      <c r="H265" s="821"/>
      <c r="I265" s="51"/>
      <c r="J265" s="108"/>
      <c r="K265" s="821"/>
      <c r="L265" s="105"/>
      <c r="M265" s="198"/>
      <c r="N265" s="193"/>
      <c r="O265" s="66"/>
      <c r="P265" s="66"/>
      <c r="AH265" s="10">
        <v>0</v>
      </c>
    </row>
    <row r="266" spans="1:34" s="10" customFormat="1" ht="18.75" hidden="1" customHeight="1">
      <c r="A266" s="33" t="s">
        <v>255</v>
      </c>
      <c r="B266" s="33" t="s">
        <v>256</v>
      </c>
      <c r="C266" s="3"/>
      <c r="D266" s="1438"/>
      <c r="E266" s="1239"/>
      <c r="F266" s="1377" t="str">
        <f>INDEX(PT_DIFFERENTIATION_VTAR,MATCH(A266,PT_DIFFERENTIATION_VTAR_ID,0))</f>
        <v>Тариф на транспортировку горячей воды</v>
      </c>
      <c r="G266" s="1413" t="str">
        <f>INDEX(PT_DIFFERENTIATION_NTAR,MATCH(B266,PT_DIFFERENTIATION_NTAR_ID,0))</f>
        <v/>
      </c>
      <c r="H266" s="760"/>
      <c r="I266" s="947"/>
      <c r="J266" s="973"/>
      <c r="K266" s="363"/>
      <c r="L266" s="760" t="s">
        <v>306</v>
      </c>
      <c r="M266" s="198"/>
      <c r="N266" s="193"/>
      <c r="O266" s="66"/>
      <c r="P266" s="66"/>
      <c r="AH266" s="10">
        <v>0</v>
      </c>
    </row>
    <row r="267" spans="1:34" s="10" customFormat="1" ht="18.75" hidden="1" customHeight="1">
      <c r="A267" s="33"/>
      <c r="B267" s="33"/>
      <c r="C267" s="3" t="s">
        <v>1144</v>
      </c>
      <c r="D267" s="1438"/>
      <c r="E267" s="1239"/>
      <c r="F267" s="1377"/>
      <c r="G267" s="1413"/>
      <c r="H267" s="821"/>
      <c r="I267" s="51" t="s">
        <v>1143</v>
      </c>
      <c r="J267" s="108"/>
      <c r="K267" s="821"/>
      <c r="L267" s="105"/>
      <c r="M267" s="198"/>
      <c r="N267" s="193"/>
      <c r="O267" s="66"/>
      <c r="P267" s="66"/>
      <c r="AH267" s="10">
        <v>0</v>
      </c>
    </row>
    <row r="268" spans="1:34" s="10" customFormat="1" ht="0.75" hidden="1" customHeight="1">
      <c r="A268" s="33"/>
      <c r="B268" s="33"/>
      <c r="C268" s="3" t="s">
        <v>1153</v>
      </c>
      <c r="D268" s="1438"/>
      <c r="E268" s="1239"/>
      <c r="F268" s="1377"/>
      <c r="G268" s="224"/>
      <c r="H268" s="821"/>
      <c r="I268" s="51"/>
      <c r="J268" s="108"/>
      <c r="K268" s="821"/>
      <c r="L268" s="105"/>
      <c r="M268" s="198"/>
      <c r="N268" s="193"/>
      <c r="O268" s="66"/>
      <c r="P268" s="66"/>
      <c r="AH268" s="10">
        <v>0</v>
      </c>
    </row>
    <row r="269" spans="1:34" s="10" customFormat="1" ht="18.75" hidden="1" customHeight="1">
      <c r="A269" s="33" t="s">
        <v>260</v>
      </c>
      <c r="B269" s="33" t="s">
        <v>261</v>
      </c>
      <c r="C269" s="3"/>
      <c r="D269" s="1438"/>
      <c r="E269" s="1239"/>
      <c r="F269" s="1377" t="str">
        <f>INDEX(PT_DIFFERENTIATION_VTAR,MATCH(A269,PT_DIFFERENTIATION_VTAR_ID,0))</f>
        <v>Тариф на подключение (технологическое присоединение) к централизованной системе горячего водоснабжения</v>
      </c>
      <c r="G269" s="1413" t="str">
        <f>INDEX(PT_DIFFERENTIATION_NTAR,MATCH(B269,PT_DIFFERENTIATION_NTAR_ID,0))</f>
        <v/>
      </c>
      <c r="H269" s="760"/>
      <c r="I269" s="947"/>
      <c r="J269" s="973"/>
      <c r="K269" s="363"/>
      <c r="L269" s="760" t="s">
        <v>306</v>
      </c>
      <c r="M269" s="198"/>
      <c r="N269" s="193"/>
      <c r="O269" s="66"/>
      <c r="P269" s="66"/>
      <c r="AH269" s="10">
        <v>0</v>
      </c>
    </row>
    <row r="270" spans="1:34" s="10" customFormat="1" ht="18.75" hidden="1" customHeight="1">
      <c r="A270" s="33"/>
      <c r="B270" s="33"/>
      <c r="C270" s="3" t="s">
        <v>1144</v>
      </c>
      <c r="D270" s="1438"/>
      <c r="E270" s="1239"/>
      <c r="F270" s="1377"/>
      <c r="G270" s="1413"/>
      <c r="H270" s="821"/>
      <c r="I270" s="51" t="s">
        <v>1143</v>
      </c>
      <c r="J270" s="108"/>
      <c r="K270" s="821"/>
      <c r="L270" s="105"/>
      <c r="M270" s="198"/>
      <c r="N270" s="193"/>
      <c r="O270" s="66"/>
      <c r="P270" s="66"/>
      <c r="AH270" s="10">
        <v>0</v>
      </c>
    </row>
    <row r="271" spans="1:34" s="10" customFormat="1" ht="0.75" hidden="1" customHeight="1">
      <c r="A271" s="33"/>
      <c r="B271" s="33"/>
      <c r="C271" s="3" t="s">
        <v>1153</v>
      </c>
      <c r="D271" s="1438"/>
      <c r="E271" s="1239"/>
      <c r="F271" s="1377"/>
      <c r="G271" s="224"/>
      <c r="H271" s="821"/>
      <c r="I271" s="51"/>
      <c r="J271" s="108"/>
      <c r="K271" s="821"/>
      <c r="L271" s="105"/>
      <c r="M271" s="198"/>
      <c r="N271" s="193"/>
      <c r="O271" s="66"/>
      <c r="P271" s="66"/>
      <c r="AH271" s="10">
        <v>0</v>
      </c>
    </row>
    <row r="272" spans="1:34" s="10" customFormat="1" ht="18.75" hidden="1" customHeight="1">
      <c r="A272" s="33" t="s">
        <v>265</v>
      </c>
      <c r="B272" s="33" t="s">
        <v>266</v>
      </c>
      <c r="C272" s="3"/>
      <c r="D272" s="1438"/>
      <c r="E272" s="1239"/>
      <c r="F272" s="1377" t="str">
        <f>INDEX(PT_DIFFERENTIATION_VTAR,MATCH(A272,PT_DIFFERENTIATION_VTAR_ID,0))</f>
        <v>Тариф на водоотведение</v>
      </c>
      <c r="G272" s="1413" t="str">
        <f>INDEX(PT_DIFFERENTIATION_NTAR,MATCH(B272,PT_DIFFERENTIATION_NTAR_ID,0))</f>
        <v/>
      </c>
      <c r="H272" s="760"/>
      <c r="I272" s="947"/>
      <c r="J272" s="973"/>
      <c r="K272" s="363"/>
      <c r="L272" s="760" t="s">
        <v>306</v>
      </c>
      <c r="M272" s="198"/>
      <c r="N272" s="193"/>
      <c r="O272" s="66"/>
      <c r="P272" s="66"/>
      <c r="AH272" s="10">
        <v>0</v>
      </c>
    </row>
    <row r="273" spans="1:34" s="10" customFormat="1" ht="18.75" hidden="1" customHeight="1">
      <c r="A273" s="33"/>
      <c r="B273" s="33"/>
      <c r="C273" s="3" t="s">
        <v>1144</v>
      </c>
      <c r="D273" s="1438"/>
      <c r="E273" s="1239"/>
      <c r="F273" s="1377"/>
      <c r="G273" s="1413"/>
      <c r="H273" s="821"/>
      <c r="I273" s="51" t="s">
        <v>1143</v>
      </c>
      <c r="J273" s="108"/>
      <c r="K273" s="821"/>
      <c r="L273" s="105"/>
      <c r="M273" s="198"/>
      <c r="N273" s="193"/>
      <c r="O273" s="66"/>
      <c r="P273" s="66"/>
      <c r="AH273" s="10">
        <v>0</v>
      </c>
    </row>
    <row r="274" spans="1:34" s="10" customFormat="1" ht="0.75" hidden="1" customHeight="1">
      <c r="A274" s="33"/>
      <c r="B274" s="33"/>
      <c r="C274" s="3" t="s">
        <v>1153</v>
      </c>
      <c r="D274" s="1438"/>
      <c r="E274" s="1239"/>
      <c r="F274" s="1377"/>
      <c r="G274" s="224"/>
      <c r="H274" s="821"/>
      <c r="I274" s="51"/>
      <c r="J274" s="108"/>
      <c r="K274" s="821"/>
      <c r="L274" s="105"/>
      <c r="M274" s="198"/>
      <c r="N274" s="193"/>
      <c r="O274" s="66"/>
      <c r="P274" s="66"/>
      <c r="AH274" s="10">
        <v>0</v>
      </c>
    </row>
    <row r="275" spans="1:34" s="10" customFormat="1" ht="18.75" hidden="1" customHeight="1">
      <c r="A275" s="33" t="s">
        <v>270</v>
      </c>
      <c r="B275" s="33" t="s">
        <v>271</v>
      </c>
      <c r="C275" s="3"/>
      <c r="D275" s="1438"/>
      <c r="E275" s="1239"/>
      <c r="F275" s="1377" t="str">
        <f>INDEX(PT_DIFFERENTIATION_VTAR,MATCH(A275,PT_DIFFERENTIATION_VTAR_ID,0))</f>
        <v>Тариф на транспортировку сточных вод</v>
      </c>
      <c r="G275" s="1413" t="str">
        <f>INDEX(PT_DIFFERENTIATION_NTAR,MATCH(B275,PT_DIFFERENTIATION_NTAR_ID,0))</f>
        <v/>
      </c>
      <c r="H275" s="760"/>
      <c r="I275" s="947"/>
      <c r="J275" s="973"/>
      <c r="K275" s="363"/>
      <c r="L275" s="760" t="s">
        <v>306</v>
      </c>
      <c r="M275" s="198"/>
      <c r="N275" s="193"/>
      <c r="O275" s="66"/>
      <c r="P275" s="66"/>
      <c r="AH275" s="10">
        <v>0</v>
      </c>
    </row>
    <row r="276" spans="1:34" s="10" customFormat="1" ht="18.75" hidden="1" customHeight="1">
      <c r="A276" s="33"/>
      <c r="B276" s="33"/>
      <c r="C276" s="3" t="s">
        <v>1144</v>
      </c>
      <c r="D276" s="1438"/>
      <c r="E276" s="1239"/>
      <c r="F276" s="1377"/>
      <c r="G276" s="1413"/>
      <c r="H276" s="821"/>
      <c r="I276" s="51" t="s">
        <v>1143</v>
      </c>
      <c r="J276" s="108"/>
      <c r="K276" s="821"/>
      <c r="L276" s="105"/>
      <c r="M276" s="198"/>
      <c r="N276" s="193"/>
      <c r="O276" s="66"/>
      <c r="P276" s="66"/>
      <c r="AH276" s="10">
        <v>0</v>
      </c>
    </row>
    <row r="277" spans="1:34" s="10" customFormat="1" ht="0.75" hidden="1" customHeight="1">
      <c r="A277" s="33"/>
      <c r="B277" s="33"/>
      <c r="C277" s="3" t="s">
        <v>1153</v>
      </c>
      <c r="D277" s="1438"/>
      <c r="E277" s="1239"/>
      <c r="F277" s="1377"/>
      <c r="G277" s="224"/>
      <c r="H277" s="821"/>
      <c r="I277" s="51"/>
      <c r="J277" s="108"/>
      <c r="K277" s="821"/>
      <c r="L277" s="105"/>
      <c r="M277" s="198"/>
      <c r="N277" s="193"/>
      <c r="O277" s="66"/>
      <c r="P277" s="66"/>
      <c r="AH277" s="10">
        <v>0</v>
      </c>
    </row>
    <row r="278" spans="1:34" s="10" customFormat="1" ht="18.75" hidden="1" customHeight="1">
      <c r="A278" s="33" t="s">
        <v>275</v>
      </c>
      <c r="B278" s="33" t="s">
        <v>276</v>
      </c>
      <c r="C278" s="3"/>
      <c r="D278" s="1438"/>
      <c r="E278" s="1239"/>
      <c r="F278" s="1377" t="str">
        <f>INDEX(PT_DIFFERENTIATION_VTAR,MATCH(A278,PT_DIFFERENTIATION_VTAR_ID,0))</f>
        <v>Тариф на подключение (технологическое присоединение) к централизованной системе водоотведения</v>
      </c>
      <c r="G278" s="1413" t="str">
        <f>INDEX(PT_DIFFERENTIATION_NTAR,MATCH(B278,PT_DIFFERENTIATION_NTAR_ID,0))</f>
        <v/>
      </c>
      <c r="H278" s="760"/>
      <c r="I278" s="947"/>
      <c r="J278" s="973"/>
      <c r="K278" s="363"/>
      <c r="L278" s="760" t="s">
        <v>306</v>
      </c>
      <c r="M278" s="198"/>
      <c r="N278" s="193"/>
      <c r="O278" s="66"/>
      <c r="P278" s="66"/>
      <c r="AH278" s="10">
        <v>0</v>
      </c>
    </row>
    <row r="279" spans="1:34" s="10" customFormat="1" ht="18.75" hidden="1" customHeight="1">
      <c r="A279" s="33"/>
      <c r="B279" s="33"/>
      <c r="C279" s="3" t="s">
        <v>1144</v>
      </c>
      <c r="D279" s="1438"/>
      <c r="E279" s="1239"/>
      <c r="F279" s="1377"/>
      <c r="G279" s="1413"/>
      <c r="H279" s="821"/>
      <c r="I279" s="51" t="s">
        <v>1143</v>
      </c>
      <c r="J279" s="108"/>
      <c r="K279" s="821"/>
      <c r="L279" s="105"/>
      <c r="M279" s="198"/>
      <c r="N279" s="193"/>
      <c r="O279" s="66"/>
      <c r="P279" s="66"/>
      <c r="AH279" s="10">
        <v>0</v>
      </c>
    </row>
    <row r="280" spans="1:34" s="10" customFormat="1" ht="1.1499999999999999" customHeight="1">
      <c r="A280" s="33"/>
      <c r="B280" s="33"/>
      <c r="C280" s="3" t="s">
        <v>1153</v>
      </c>
      <c r="D280" s="1438"/>
      <c r="E280" s="1239"/>
      <c r="F280" s="1377"/>
      <c r="G280" s="224"/>
      <c r="H280" s="821"/>
      <c r="I280" s="51"/>
      <c r="J280" s="108"/>
      <c r="K280" s="821"/>
      <c r="L280" s="105"/>
      <c r="M280" s="198"/>
      <c r="N280" s="193"/>
      <c r="O280" s="66"/>
      <c r="P280" s="66"/>
      <c r="AH280" s="10">
        <v>1</v>
      </c>
    </row>
    <row r="281" spans="1:34" ht="27.4" customHeight="1">
      <c r="A281" s="33"/>
      <c r="B281" s="33"/>
      <c r="D281" s="27"/>
      <c r="E281" s="61" t="s">
        <v>90</v>
      </c>
      <c r="F281" s="143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81" s="1437"/>
      <c r="H281" s="1437"/>
      <c r="I281" s="1437"/>
      <c r="J281" s="1437"/>
      <c r="K281" s="1437"/>
      <c r="L281" s="1437"/>
      <c r="M281" s="111"/>
      <c r="N281" s="193"/>
      <c r="AH281" s="10">
        <v>26</v>
      </c>
    </row>
    <row r="282" spans="1:34" s="10" customFormat="1" ht="60.75" hidden="1" customHeight="1">
      <c r="A282" s="33" t="s">
        <v>153</v>
      </c>
      <c r="B282" s="33" t="s">
        <v>154</v>
      </c>
      <c r="C282" s="3"/>
      <c r="D282" s="1438"/>
      <c r="E282" s="1239"/>
      <c r="F282" s="1377" t="str">
        <f>INDEX(PT_DIFFERENTIATION_VTAR,MATCH(A282,PT_DIFFERENTIATION_VTAR_ID,0))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2" s="1413" t="str">
        <f>INDEX(PT_DIFFERENTIATION_NTAR,MATCH(B282,PT_DIFFERENTIATION_NTAR_ID,0))</f>
        <v/>
      </c>
      <c r="H282" s="760"/>
      <c r="I282" s="947"/>
      <c r="J282" s="973"/>
      <c r="K282" s="363"/>
      <c r="L282" s="760" t="s">
        <v>306</v>
      </c>
      <c r="M282" s="11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2" s="193"/>
      <c r="O282" s="66"/>
      <c r="P282" s="66"/>
      <c r="AH282" s="10">
        <v>0</v>
      </c>
    </row>
    <row r="283" spans="1:34" s="10" customFormat="1" ht="18.75" hidden="1" customHeight="1">
      <c r="A283" s="33"/>
      <c r="B283" s="33"/>
      <c r="C283" s="3" t="s">
        <v>1144</v>
      </c>
      <c r="D283" s="1438"/>
      <c r="E283" s="1239"/>
      <c r="F283" s="1377"/>
      <c r="G283" s="1413"/>
      <c r="H283" s="821"/>
      <c r="I283" s="51" t="s">
        <v>1143</v>
      </c>
      <c r="J283" s="108"/>
      <c r="K283" s="821"/>
      <c r="L283" s="105"/>
      <c r="M283" s="1191"/>
      <c r="N283" s="193"/>
      <c r="O283" s="66"/>
      <c r="P283" s="66"/>
      <c r="AH283" s="10">
        <v>0</v>
      </c>
    </row>
    <row r="284" spans="1:34" s="10" customFormat="1" ht="0.75" hidden="1" customHeight="1">
      <c r="A284" s="33"/>
      <c r="B284" s="33"/>
      <c r="C284" s="3" t="s">
        <v>1153</v>
      </c>
      <c r="D284" s="1438"/>
      <c r="E284" s="1239"/>
      <c r="F284" s="1377"/>
      <c r="G284" s="224"/>
      <c r="H284" s="821"/>
      <c r="I284" s="51"/>
      <c r="J284" s="108"/>
      <c r="K284" s="821"/>
      <c r="L284" s="105"/>
      <c r="M284" s="1191"/>
      <c r="N284" s="193"/>
      <c r="O284" s="66"/>
      <c r="P284" s="66"/>
      <c r="AH284" s="10">
        <v>0</v>
      </c>
    </row>
    <row r="285" spans="1:34" s="10" customFormat="1" ht="45" hidden="1" customHeight="1">
      <c r="A285" s="33" t="s">
        <v>158</v>
      </c>
      <c r="B285" s="33" t="s">
        <v>159</v>
      </c>
      <c r="C285" s="3"/>
      <c r="D285" s="1438"/>
      <c r="E285" s="1239"/>
      <c r="F285" s="1377" t="str">
        <f>INDEX(PT_DIFFERENTIATION_VTAR,MATCH(A285,PT_DIFFERENTIATION_VTAR_ID,0))</f>
        <v/>
      </c>
      <c r="G285" s="1413" t="str">
        <f>INDEX(PT_DIFFERENTIATION_NTAR,MATCH(B285,PT_DIFFERENTIATION_NTAR_ID,0))</f>
        <v/>
      </c>
      <c r="H285" s="760"/>
      <c r="I285" s="947"/>
      <c r="J285" s="973"/>
      <c r="K285" s="363"/>
      <c r="L285" s="760" t="s">
        <v>306</v>
      </c>
      <c r="M285" s="1192"/>
      <c r="N285" s="193"/>
      <c r="O285" s="66"/>
      <c r="P285" s="66"/>
      <c r="AH285" s="10">
        <v>0</v>
      </c>
    </row>
    <row r="286" spans="1:34" s="10" customFormat="1" ht="18.75" hidden="1" customHeight="1">
      <c r="A286" s="33"/>
      <c r="B286" s="33"/>
      <c r="C286" s="3" t="s">
        <v>1144</v>
      </c>
      <c r="D286" s="1438"/>
      <c r="E286" s="1239"/>
      <c r="F286" s="1377"/>
      <c r="G286" s="1413"/>
      <c r="H286" s="821"/>
      <c r="I286" s="51" t="s">
        <v>1143</v>
      </c>
      <c r="J286" s="108"/>
      <c r="K286" s="821"/>
      <c r="L286" s="105"/>
      <c r="M286" s="1005"/>
      <c r="N286" s="193"/>
      <c r="O286" s="66"/>
      <c r="P286" s="66"/>
      <c r="AH286" s="10">
        <v>0</v>
      </c>
    </row>
    <row r="287" spans="1:34" s="10" customFormat="1" ht="0.75" hidden="1" customHeight="1">
      <c r="A287" s="33"/>
      <c r="B287" s="33"/>
      <c r="C287" s="3" t="s">
        <v>1153</v>
      </c>
      <c r="D287" s="1438"/>
      <c r="E287" s="1239"/>
      <c r="F287" s="1377"/>
      <c r="G287" s="224"/>
      <c r="H287" s="821"/>
      <c r="I287" s="51"/>
      <c r="J287" s="108"/>
      <c r="K287" s="821"/>
      <c r="L287" s="105"/>
      <c r="M287" s="198"/>
      <c r="N287" s="193"/>
      <c r="O287" s="66"/>
      <c r="P287" s="66"/>
      <c r="AH287" s="10">
        <v>0</v>
      </c>
    </row>
    <row r="288" spans="1:34" s="10" customFormat="1" ht="45" hidden="1" customHeight="1">
      <c r="A288" s="33" t="s">
        <v>165</v>
      </c>
      <c r="B288" s="33" t="s">
        <v>166</v>
      </c>
      <c r="C288" s="3"/>
      <c r="D288" s="1438"/>
      <c r="E288" s="1239"/>
      <c r="F288" s="1377" t="str">
        <f>INDEX(PT_DIFFERENTIATION_VTAR,MATCH(A288,PT_DIFFERENTIATION_VTAR_ID,0))</f>
        <v>Тарифы на теплоноситель, поставляемый теплоснабжающими организациями потребителям, другим теплоснабжающим организациям</v>
      </c>
      <c r="G288" s="1413" t="str">
        <f>INDEX(PT_DIFFERENTIATION_NTAR,MATCH(B288,PT_DIFFERENTIATION_NTAR_ID,0))</f>
        <v/>
      </c>
      <c r="H288" s="760"/>
      <c r="I288" s="947"/>
      <c r="J288" s="973"/>
      <c r="K288" s="363"/>
      <c r="L288" s="760" t="s">
        <v>306</v>
      </c>
      <c r="M288" s="198"/>
      <c r="N288" s="193"/>
      <c r="O288" s="66"/>
      <c r="P288" s="66"/>
      <c r="AH288" s="10">
        <v>0</v>
      </c>
    </row>
    <row r="289" spans="1:34" s="10" customFormat="1" ht="18.75" hidden="1" customHeight="1">
      <c r="A289" s="33"/>
      <c r="B289" s="33"/>
      <c r="C289" s="3" t="s">
        <v>1144</v>
      </c>
      <c r="D289" s="1438"/>
      <c r="E289" s="1239"/>
      <c r="F289" s="1377"/>
      <c r="G289" s="1413"/>
      <c r="H289" s="821"/>
      <c r="I289" s="51" t="s">
        <v>1143</v>
      </c>
      <c r="J289" s="108"/>
      <c r="K289" s="821"/>
      <c r="L289" s="105"/>
      <c r="M289" s="198"/>
      <c r="N289" s="193"/>
      <c r="O289" s="66"/>
      <c r="P289" s="66"/>
      <c r="AH289" s="10">
        <v>0</v>
      </c>
    </row>
    <row r="290" spans="1:34" s="10" customFormat="1" ht="0.75" hidden="1" customHeight="1">
      <c r="A290" s="33"/>
      <c r="B290" s="33"/>
      <c r="C290" s="3" t="s">
        <v>1153</v>
      </c>
      <c r="D290" s="1438"/>
      <c r="E290" s="1239"/>
      <c r="F290" s="1377"/>
      <c r="G290" s="224"/>
      <c r="H290" s="821"/>
      <c r="I290" s="51"/>
      <c r="J290" s="108"/>
      <c r="K290" s="821"/>
      <c r="L290" s="105"/>
      <c r="M290" s="198"/>
      <c r="N290" s="193"/>
      <c r="O290" s="66"/>
      <c r="P290" s="66"/>
      <c r="AH290" s="10">
        <v>0</v>
      </c>
    </row>
    <row r="291" spans="1:34" s="10" customFormat="1" ht="45" hidden="1" customHeight="1">
      <c r="A291" s="33" t="s">
        <v>171</v>
      </c>
      <c r="B291" s="33" t="s">
        <v>172</v>
      </c>
      <c r="C291" s="3"/>
      <c r="D291" s="1438"/>
      <c r="E291" s="1239"/>
      <c r="F291" s="1377" t="str">
        <f>INDEX(PT_DIFFERENTIATION_VTAR,MATCH(A291,PT_DIFFERENTIATION_VTAR_ID,0))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1" s="1413" t="str">
        <f>INDEX(PT_DIFFERENTIATION_NTAR,MATCH(B291,PT_DIFFERENTIATION_NTAR_ID,0))</f>
        <v/>
      </c>
      <c r="H291" s="760"/>
      <c r="I291" s="947"/>
      <c r="J291" s="973"/>
      <c r="K291" s="363"/>
      <c r="L291" s="760" t="s">
        <v>306</v>
      </c>
      <c r="M291" s="198"/>
      <c r="N291" s="193"/>
      <c r="O291" s="66"/>
      <c r="P291" s="66"/>
      <c r="AH291" s="10">
        <v>0</v>
      </c>
    </row>
    <row r="292" spans="1:34" s="10" customFormat="1" ht="18.75" hidden="1" customHeight="1">
      <c r="A292" s="33"/>
      <c r="B292" s="33"/>
      <c r="C292" s="3" t="s">
        <v>1144</v>
      </c>
      <c r="D292" s="1438"/>
      <c r="E292" s="1239"/>
      <c r="F292" s="1377"/>
      <c r="G292" s="1413"/>
      <c r="H292" s="821"/>
      <c r="I292" s="51" t="s">
        <v>1143</v>
      </c>
      <c r="J292" s="108"/>
      <c r="K292" s="821"/>
      <c r="L292" s="105"/>
      <c r="M292" s="198"/>
      <c r="N292" s="193"/>
      <c r="O292" s="66"/>
      <c r="P292" s="66"/>
      <c r="AH292" s="10">
        <v>0</v>
      </c>
    </row>
    <row r="293" spans="1:34" s="10" customFormat="1" ht="0.75" hidden="1" customHeight="1">
      <c r="A293" s="33"/>
      <c r="B293" s="33"/>
      <c r="C293" s="3" t="s">
        <v>1153</v>
      </c>
      <c r="D293" s="1438"/>
      <c r="E293" s="1239"/>
      <c r="F293" s="1377"/>
      <c r="G293" s="224"/>
      <c r="H293" s="821"/>
      <c r="I293" s="51"/>
      <c r="J293" s="108"/>
      <c r="K293" s="821"/>
      <c r="L293" s="105"/>
      <c r="M293" s="198"/>
      <c r="N293" s="193"/>
      <c r="O293" s="66"/>
      <c r="P293" s="66"/>
      <c r="AH293" s="10">
        <v>0</v>
      </c>
    </row>
    <row r="294" spans="1:34" s="10" customFormat="1" ht="18.75" hidden="1" customHeight="1">
      <c r="A294" s="33" t="s">
        <v>177</v>
      </c>
      <c r="B294" s="33" t="s">
        <v>178</v>
      </c>
      <c r="C294" s="3"/>
      <c r="D294" s="1438"/>
      <c r="E294" s="1239"/>
      <c r="F294" s="1377" t="str">
        <f>INDEX(PT_DIFFERENTIATION_VTAR,MATCH(A294,PT_DIFFERENTIATION_VTAR_ID,0))</f>
        <v>Тарифы на услуги по передаче тепловой энергии</v>
      </c>
      <c r="G294" s="1413" t="str">
        <f>INDEX(PT_DIFFERENTIATION_NTAR,MATCH(B294,PT_DIFFERENTIATION_NTAR_ID,0))</f>
        <v/>
      </c>
      <c r="H294" s="760"/>
      <c r="I294" s="947"/>
      <c r="J294" s="973"/>
      <c r="K294" s="363"/>
      <c r="L294" s="760" t="s">
        <v>306</v>
      </c>
      <c r="M294" s="198"/>
      <c r="N294" s="193"/>
      <c r="O294" s="66"/>
      <c r="P294" s="66"/>
      <c r="AH294" s="10">
        <v>0</v>
      </c>
    </row>
    <row r="295" spans="1:34" s="10" customFormat="1" ht="18.75" hidden="1" customHeight="1">
      <c r="A295" s="33"/>
      <c r="B295" s="33"/>
      <c r="C295" s="3" t="s">
        <v>1144</v>
      </c>
      <c r="D295" s="1438"/>
      <c r="E295" s="1239"/>
      <c r="F295" s="1377"/>
      <c r="G295" s="1413"/>
      <c r="H295" s="821"/>
      <c r="I295" s="51" t="s">
        <v>1143</v>
      </c>
      <c r="J295" s="108"/>
      <c r="K295" s="821"/>
      <c r="L295" s="105"/>
      <c r="M295" s="198"/>
      <c r="N295" s="193"/>
      <c r="O295" s="66"/>
      <c r="P295" s="66"/>
      <c r="AH295" s="10">
        <v>0</v>
      </c>
    </row>
    <row r="296" spans="1:34" s="10" customFormat="1" ht="0.75" hidden="1" customHeight="1">
      <c r="A296" s="33"/>
      <c r="B296" s="33"/>
      <c r="C296" s="3" t="s">
        <v>1153</v>
      </c>
      <c r="D296" s="1438"/>
      <c r="E296" s="1239"/>
      <c r="F296" s="1377"/>
      <c r="G296" s="224"/>
      <c r="H296" s="821"/>
      <c r="I296" s="51"/>
      <c r="J296" s="108"/>
      <c r="K296" s="821"/>
      <c r="L296" s="105"/>
      <c r="M296" s="198"/>
      <c r="N296" s="193"/>
      <c r="O296" s="66"/>
      <c r="P296" s="66"/>
      <c r="AH296" s="10">
        <v>0</v>
      </c>
    </row>
    <row r="297" spans="1:34" s="10" customFormat="1" ht="18.75" hidden="1" customHeight="1">
      <c r="A297" s="33" t="s">
        <v>183</v>
      </c>
      <c r="B297" s="33" t="s">
        <v>184</v>
      </c>
      <c r="C297" s="3"/>
      <c r="D297" s="1438"/>
      <c r="E297" s="1239"/>
      <c r="F297" s="1377" t="str">
        <f>INDEX(PT_DIFFERENTIATION_VTAR,MATCH(A297,PT_DIFFERENTIATION_VTAR_ID,0))</f>
        <v>Тарифы на услуги по передаче теплоносителя</v>
      </c>
      <c r="G297" s="1413" t="str">
        <f>INDEX(PT_DIFFERENTIATION_NTAR,MATCH(B297,PT_DIFFERENTIATION_NTAR_ID,0))</f>
        <v/>
      </c>
      <c r="H297" s="760"/>
      <c r="I297" s="947"/>
      <c r="J297" s="973"/>
      <c r="K297" s="363"/>
      <c r="L297" s="760" t="s">
        <v>306</v>
      </c>
      <c r="M297" s="198"/>
      <c r="N297" s="193"/>
      <c r="O297" s="66"/>
      <c r="P297" s="66"/>
      <c r="AH297" s="10">
        <v>0</v>
      </c>
    </row>
    <row r="298" spans="1:34" s="10" customFormat="1" ht="18.75" hidden="1" customHeight="1">
      <c r="A298" s="33"/>
      <c r="B298" s="33"/>
      <c r="C298" s="3" t="s">
        <v>1144</v>
      </c>
      <c r="D298" s="1438"/>
      <c r="E298" s="1239"/>
      <c r="F298" s="1377"/>
      <c r="G298" s="1413"/>
      <c r="H298" s="821"/>
      <c r="I298" s="51" t="s">
        <v>1143</v>
      </c>
      <c r="J298" s="108"/>
      <c r="K298" s="821"/>
      <c r="L298" s="105"/>
      <c r="M298" s="198"/>
      <c r="N298" s="193"/>
      <c r="O298" s="66"/>
      <c r="P298" s="66"/>
      <c r="AH298" s="10">
        <v>0</v>
      </c>
    </row>
    <row r="299" spans="1:34" s="10" customFormat="1" ht="0.75" hidden="1" customHeight="1">
      <c r="A299" s="33"/>
      <c r="B299" s="33"/>
      <c r="C299" s="3" t="s">
        <v>1153</v>
      </c>
      <c r="D299" s="1438"/>
      <c r="E299" s="1239"/>
      <c r="F299" s="1377"/>
      <c r="G299" s="224"/>
      <c r="H299" s="821"/>
      <c r="I299" s="51"/>
      <c r="J299" s="108"/>
      <c r="K299" s="821"/>
      <c r="L299" s="105"/>
      <c r="M299" s="198"/>
      <c r="N299" s="193"/>
      <c r="O299" s="66"/>
      <c r="P299" s="66"/>
      <c r="AH299" s="10">
        <v>0</v>
      </c>
    </row>
    <row r="300" spans="1:34" s="10" customFormat="1" ht="18.75" hidden="1" customHeight="1">
      <c r="A300" s="33" t="s">
        <v>189</v>
      </c>
      <c r="B300" s="33" t="s">
        <v>190</v>
      </c>
      <c r="C300" s="3"/>
      <c r="D300" s="1438"/>
      <c r="E300" s="1239"/>
      <c r="F300" s="1377" t="str">
        <f>INDEX(PT_DIFFERENTIATION_VTAR,MATCH(A300,PT_DIFFERENTIATION_VTAR_ID,0))</f>
        <v>Плата за услуги по поддержанию резервной тепловой мощности при отсутствии потребления тепловой энергии</v>
      </c>
      <c r="G300" s="1413" t="str">
        <f>INDEX(PT_DIFFERENTIATION_NTAR,MATCH(B300,PT_DIFFERENTIATION_NTAR_ID,0))</f>
        <v/>
      </c>
      <c r="H300" s="760"/>
      <c r="I300" s="947"/>
      <c r="J300" s="973"/>
      <c r="K300" s="363"/>
      <c r="L300" s="760" t="s">
        <v>306</v>
      </c>
      <c r="M300" s="198"/>
      <c r="N300" s="193"/>
      <c r="O300" s="66"/>
      <c r="P300" s="66"/>
      <c r="AH300" s="10">
        <v>0</v>
      </c>
    </row>
    <row r="301" spans="1:34" s="10" customFormat="1" ht="18.75" hidden="1" customHeight="1">
      <c r="A301" s="33"/>
      <c r="B301" s="33"/>
      <c r="C301" s="3" t="s">
        <v>1144</v>
      </c>
      <c r="D301" s="1438"/>
      <c r="E301" s="1239"/>
      <c r="F301" s="1377"/>
      <c r="G301" s="1413"/>
      <c r="H301" s="821"/>
      <c r="I301" s="51" t="s">
        <v>1143</v>
      </c>
      <c r="J301" s="108"/>
      <c r="K301" s="821"/>
      <c r="L301" s="105"/>
      <c r="M301" s="198"/>
      <c r="N301" s="193"/>
      <c r="O301" s="66"/>
      <c r="P301" s="66"/>
      <c r="AH301" s="10">
        <v>0</v>
      </c>
    </row>
    <row r="302" spans="1:34" s="10" customFormat="1" ht="0.75" hidden="1" customHeight="1">
      <c r="A302" s="33"/>
      <c r="B302" s="33"/>
      <c r="C302" s="3" t="s">
        <v>1153</v>
      </c>
      <c r="D302" s="1438"/>
      <c r="E302" s="1239"/>
      <c r="F302" s="1377"/>
      <c r="G302" s="224"/>
      <c r="H302" s="821"/>
      <c r="I302" s="51"/>
      <c r="J302" s="108"/>
      <c r="K302" s="821"/>
      <c r="L302" s="105"/>
      <c r="M302" s="198"/>
      <c r="N302" s="193"/>
      <c r="O302" s="66"/>
      <c r="P302" s="66"/>
      <c r="AH302" s="10">
        <v>0</v>
      </c>
    </row>
    <row r="303" spans="1:34" s="10" customFormat="1" ht="18.75" hidden="1" customHeight="1">
      <c r="A303" s="33" t="s">
        <v>195</v>
      </c>
      <c r="B303" s="33" t="s">
        <v>196</v>
      </c>
      <c r="C303" s="3"/>
      <c r="D303" s="1438"/>
      <c r="E303" s="1239"/>
      <c r="F303" s="1377" t="str">
        <f>INDEX(PT_DIFFERENTIATION_VTAR,MATCH(A303,PT_DIFFERENTIATION_VTAR_ID,0))</f>
        <v>Плата за подключение (технологическое присоединение) к системе теплоснабжения</v>
      </c>
      <c r="G303" s="1413" t="str">
        <f>INDEX(PT_DIFFERENTIATION_NTAR,MATCH(B303,PT_DIFFERENTIATION_NTAR_ID,0))</f>
        <v/>
      </c>
      <c r="H303" s="760"/>
      <c r="I303" s="947"/>
      <c r="J303" s="973"/>
      <c r="K303" s="363"/>
      <c r="L303" s="760" t="s">
        <v>306</v>
      </c>
      <c r="M303" s="198"/>
      <c r="N303" s="193"/>
      <c r="O303" s="66"/>
      <c r="P303" s="66"/>
      <c r="AH303" s="10">
        <v>0</v>
      </c>
    </row>
    <row r="304" spans="1:34" s="10" customFormat="1" ht="18.75" hidden="1" customHeight="1">
      <c r="A304" s="33"/>
      <c r="B304" s="33"/>
      <c r="C304" s="3" t="s">
        <v>1144</v>
      </c>
      <c r="D304" s="1438"/>
      <c r="E304" s="1239"/>
      <c r="F304" s="1377"/>
      <c r="G304" s="1413"/>
      <c r="H304" s="821"/>
      <c r="I304" s="51" t="s">
        <v>1143</v>
      </c>
      <c r="J304" s="108"/>
      <c r="K304" s="821"/>
      <c r="L304" s="105"/>
      <c r="M304" s="198"/>
      <c r="N304" s="193"/>
      <c r="O304" s="66"/>
      <c r="P304" s="66"/>
      <c r="AH304" s="10">
        <v>0</v>
      </c>
    </row>
    <row r="305" spans="1:34" s="10" customFormat="1" ht="0.75" hidden="1" customHeight="1">
      <c r="A305" s="33"/>
      <c r="B305" s="33"/>
      <c r="C305" s="3" t="s">
        <v>1153</v>
      </c>
      <c r="D305" s="1438"/>
      <c r="E305" s="1239"/>
      <c r="F305" s="1377"/>
      <c r="G305" s="224"/>
      <c r="H305" s="821"/>
      <c r="I305" s="51"/>
      <c r="J305" s="108"/>
      <c r="K305" s="821"/>
      <c r="L305" s="105"/>
      <c r="M305" s="198"/>
      <c r="N305" s="193"/>
      <c r="O305" s="66"/>
      <c r="P305" s="66"/>
      <c r="AH305" s="10">
        <v>0</v>
      </c>
    </row>
    <row r="306" spans="1:34" s="10" customFormat="1" ht="18.75" hidden="1" customHeight="1">
      <c r="A306" s="33" t="s">
        <v>201</v>
      </c>
      <c r="B306" s="33" t="s">
        <v>202</v>
      </c>
      <c r="C306" s="3"/>
      <c r="D306" s="1438"/>
      <c r="E306" s="1239"/>
      <c r="F306" s="1377" t="str">
        <f>INDEX(PT_DIFFERENTIATION_VTAR,MATCH(A306,PT_DIFFERENTIATION_VTAR_ID,0))</f>
        <v>Плата за подключение (технологическое присоединение) к системе теплоснабжения (индивидуальная)</v>
      </c>
      <c r="G306" s="1413" t="str">
        <f>INDEX(PT_DIFFERENTIATION_NTAR,MATCH(B306,PT_DIFFERENTIATION_NTAR_ID,0))</f>
        <v/>
      </c>
      <c r="H306" s="760"/>
      <c r="I306" s="947"/>
      <c r="J306" s="973"/>
      <c r="K306" s="363"/>
      <c r="L306" s="760" t="s">
        <v>306</v>
      </c>
      <c r="M306" s="198"/>
      <c r="N306" s="193"/>
      <c r="O306" s="66"/>
      <c r="P306" s="66"/>
      <c r="AH306" s="10">
        <v>0</v>
      </c>
    </row>
    <row r="307" spans="1:34" s="10" customFormat="1" ht="18.75" hidden="1" customHeight="1">
      <c r="A307" s="33"/>
      <c r="B307" s="33"/>
      <c r="C307" s="3" t="s">
        <v>1144</v>
      </c>
      <c r="D307" s="1438"/>
      <c r="E307" s="1239"/>
      <c r="F307" s="1377"/>
      <c r="G307" s="1413"/>
      <c r="H307" s="821"/>
      <c r="I307" s="51" t="s">
        <v>1143</v>
      </c>
      <c r="J307" s="108"/>
      <c r="K307" s="821"/>
      <c r="L307" s="105"/>
      <c r="M307" s="198"/>
      <c r="N307" s="193"/>
      <c r="O307" s="66"/>
      <c r="P307" s="66"/>
      <c r="AH307" s="10">
        <v>0</v>
      </c>
    </row>
    <row r="308" spans="1:34" s="10" customFormat="1" ht="0.75" hidden="1" customHeight="1">
      <c r="A308" s="33"/>
      <c r="B308" s="33"/>
      <c r="C308" s="3" t="s">
        <v>1153</v>
      </c>
      <c r="D308" s="1438"/>
      <c r="E308" s="1239"/>
      <c r="F308" s="1377"/>
      <c r="G308" s="224"/>
      <c r="H308" s="821"/>
      <c r="I308" s="51"/>
      <c r="J308" s="108"/>
      <c r="K308" s="821"/>
      <c r="L308" s="105"/>
      <c r="M308" s="198"/>
      <c r="N308" s="193"/>
      <c r="O308" s="66"/>
      <c r="P308" s="66"/>
      <c r="AH308" s="10">
        <v>0</v>
      </c>
    </row>
    <row r="309" spans="1:34" s="10" customFormat="1" ht="18.75" hidden="1" customHeight="1">
      <c r="A309" s="33" t="s">
        <v>221</v>
      </c>
      <c r="B309" s="33" t="s">
        <v>222</v>
      </c>
      <c r="C309" s="3"/>
      <c r="D309" s="1438"/>
      <c r="E309" s="1239"/>
      <c r="F309" s="1377" t="str">
        <f>INDEX(PT_DIFFERENTIATION_VTAR,MATCH(A309,PT_DIFFERENTIATION_VTAR_ID,0))</f>
        <v>Тариф на питьевую воду (питьевое водоснабжение)</v>
      </c>
      <c r="G309" s="1413" t="str">
        <f>INDEX(PT_DIFFERENTIATION_NTAR,MATCH(B309,PT_DIFFERENTIATION_NTAR_ID,0))</f>
        <v/>
      </c>
      <c r="H309" s="760"/>
      <c r="I309" s="947"/>
      <c r="J309" s="973"/>
      <c r="K309" s="363"/>
      <c r="L309" s="760" t="s">
        <v>306</v>
      </c>
      <c r="M309" s="198"/>
      <c r="N309" s="193"/>
      <c r="O309" s="66"/>
      <c r="P309" s="66"/>
      <c r="AH309" s="10">
        <v>0</v>
      </c>
    </row>
    <row r="310" spans="1:34" s="10" customFormat="1" ht="18.75" hidden="1" customHeight="1">
      <c r="A310" s="33"/>
      <c r="B310" s="33"/>
      <c r="C310" s="3" t="s">
        <v>1144</v>
      </c>
      <c r="D310" s="1438"/>
      <c r="E310" s="1239"/>
      <c r="F310" s="1377"/>
      <c r="G310" s="1413"/>
      <c r="H310" s="821"/>
      <c r="I310" s="51" t="s">
        <v>1143</v>
      </c>
      <c r="J310" s="108"/>
      <c r="K310" s="821"/>
      <c r="L310" s="105"/>
      <c r="M310" s="198"/>
      <c r="N310" s="193"/>
      <c r="O310" s="66"/>
      <c r="P310" s="66"/>
      <c r="AH310" s="10">
        <v>0</v>
      </c>
    </row>
    <row r="311" spans="1:34" s="10" customFormat="1" ht="0.75" hidden="1" customHeight="1">
      <c r="A311" s="33"/>
      <c r="B311" s="33"/>
      <c r="C311" s="3" t="s">
        <v>1153</v>
      </c>
      <c r="D311" s="1438"/>
      <c r="E311" s="1239"/>
      <c r="F311" s="1377"/>
      <c r="G311" s="224"/>
      <c r="H311" s="821"/>
      <c r="I311" s="51"/>
      <c r="J311" s="108"/>
      <c r="K311" s="821"/>
      <c r="L311" s="105"/>
      <c r="M311" s="198"/>
      <c r="N311" s="193"/>
      <c r="O311" s="66"/>
      <c r="P311" s="66"/>
      <c r="AH311" s="10">
        <v>0</v>
      </c>
    </row>
    <row r="312" spans="1:34" s="10" customFormat="1" ht="13.5" customHeight="1">
      <c r="A312" s="33" t="s">
        <v>227</v>
      </c>
      <c r="B312" s="33" t="s">
        <v>228</v>
      </c>
      <c r="C312" s="3"/>
      <c r="D312" s="1438"/>
      <c r="E312" s="1239"/>
      <c r="F312" s="1377" t="str">
        <f>INDEX(PT_DIFFERENTIATION_VTAR,MATCH(A312,PT_DIFFERENTIATION_VTAR_ID,0))</f>
        <v>Тариф на техническую воду</v>
      </c>
      <c r="G312" s="1413" t="str">
        <f>INDEX(PT_DIFFERENTIATION_NTAR,MATCH(B312,PT_DIFFERENTIATION_NTAR_ID,0))</f>
        <v>Тариф на техническую воду</v>
      </c>
      <c r="H312" s="760"/>
      <c r="I312" s="947">
        <v>46023</v>
      </c>
      <c r="J312" s="973">
        <v>46387</v>
      </c>
      <c r="K312" s="363">
        <v>0</v>
      </c>
      <c r="L312" s="760" t="s">
        <v>306</v>
      </c>
      <c r="M312" s="198"/>
      <c r="N312" s="193"/>
      <c r="O312" s="66"/>
      <c r="P312" s="66"/>
      <c r="AH312" s="10">
        <v>0</v>
      </c>
    </row>
    <row r="313" spans="1:34" s="10" customFormat="1" ht="13.5" customHeight="1">
      <c r="A313" s="33"/>
      <c r="B313" s="33"/>
      <c r="C313" s="3"/>
      <c r="D313" s="1447"/>
      <c r="E313" s="1446"/>
      <c r="F313" s="1446"/>
      <c r="G313" s="1446"/>
      <c r="H313" s="38" t="s">
        <v>493</v>
      </c>
      <c r="I313" s="947">
        <v>46388</v>
      </c>
      <c r="J313" s="973">
        <v>46752</v>
      </c>
      <c r="K313" s="363">
        <v>0</v>
      </c>
      <c r="L313" s="760" t="s">
        <v>306</v>
      </c>
      <c r="M313" s="1013"/>
      <c r="N313" s="193"/>
      <c r="O313" s="66"/>
      <c r="P313" s="66"/>
      <c r="AH313" s="10">
        <v>0</v>
      </c>
    </row>
    <row r="314" spans="1:34" s="10" customFormat="1" ht="13.5" customHeight="1">
      <c r="A314" s="33"/>
      <c r="B314" s="33"/>
      <c r="C314" s="3"/>
      <c r="D314" s="1447"/>
      <c r="E314" s="1446"/>
      <c r="F314" s="1446"/>
      <c r="G314" s="1446"/>
      <c r="H314" s="38" t="s">
        <v>493</v>
      </c>
      <c r="I314" s="947">
        <v>46753</v>
      </c>
      <c r="J314" s="973">
        <v>47118</v>
      </c>
      <c r="K314" s="363">
        <v>0</v>
      </c>
      <c r="L314" s="760" t="s">
        <v>306</v>
      </c>
      <c r="M314" s="1013"/>
      <c r="N314" s="193"/>
      <c r="O314" s="66"/>
      <c r="P314" s="66"/>
      <c r="AH314" s="10">
        <v>0</v>
      </c>
    </row>
    <row r="315" spans="1:34" s="10" customFormat="1" ht="13.5" customHeight="1">
      <c r="A315" s="33"/>
      <c r="B315" s="33"/>
      <c r="C315" s="3"/>
      <c r="D315" s="1447"/>
      <c r="E315" s="1446"/>
      <c r="F315" s="1446"/>
      <c r="G315" s="1446"/>
      <c r="H315" s="38" t="s">
        <v>493</v>
      </c>
      <c r="I315" s="947">
        <v>47119</v>
      </c>
      <c r="J315" s="973">
        <v>47483</v>
      </c>
      <c r="K315" s="363">
        <v>0</v>
      </c>
      <c r="L315" s="760" t="s">
        <v>306</v>
      </c>
      <c r="M315" s="1013"/>
      <c r="N315" s="193"/>
      <c r="O315" s="66"/>
      <c r="P315" s="66"/>
      <c r="AH315" s="10">
        <v>0</v>
      </c>
    </row>
    <row r="316" spans="1:34" s="10" customFormat="1" ht="18.75" customHeight="1">
      <c r="A316" s="33"/>
      <c r="B316" s="33"/>
      <c r="C316" s="3" t="s">
        <v>1144</v>
      </c>
      <c r="D316" s="1438"/>
      <c r="E316" s="1239"/>
      <c r="F316" s="1377"/>
      <c r="G316" s="1413"/>
      <c r="H316" s="821"/>
      <c r="I316" s="51" t="s">
        <v>1143</v>
      </c>
      <c r="J316" s="108"/>
      <c r="K316" s="821"/>
      <c r="L316" s="105"/>
      <c r="M316" s="198"/>
      <c r="N316" s="193"/>
      <c r="O316" s="66"/>
      <c r="P316" s="66"/>
      <c r="AH316" s="10">
        <v>0</v>
      </c>
    </row>
    <row r="317" spans="1:34" s="10" customFormat="1" ht="0.75" customHeight="1">
      <c r="A317" s="33"/>
      <c r="B317" s="33"/>
      <c r="C317" s="3" t="s">
        <v>1153</v>
      </c>
      <c r="D317" s="1438"/>
      <c r="E317" s="1239"/>
      <c r="F317" s="1377"/>
      <c r="G317" s="224"/>
      <c r="H317" s="821"/>
      <c r="I317" s="51"/>
      <c r="J317" s="108"/>
      <c r="K317" s="821"/>
      <c r="L317" s="105"/>
      <c r="M317" s="198"/>
      <c r="N317" s="193"/>
      <c r="O317" s="66"/>
      <c r="P317" s="66"/>
      <c r="AH317" s="10">
        <v>0</v>
      </c>
    </row>
    <row r="318" spans="1:34" s="10" customFormat="1" ht="18.75" hidden="1" customHeight="1">
      <c r="A318" s="33" t="s">
        <v>235</v>
      </c>
      <c r="B318" s="33" t="s">
        <v>236</v>
      </c>
      <c r="C318" s="3"/>
      <c r="D318" s="1438"/>
      <c r="E318" s="1239"/>
      <c r="F318" s="1377" t="str">
        <f>INDEX(PT_DIFFERENTIATION_VTAR,MATCH(A318,PT_DIFFERENTIATION_VTAR_ID,0))</f>
        <v>Тариф на транспортировку воды</v>
      </c>
      <c r="G318" s="1413" t="str">
        <f>INDEX(PT_DIFFERENTIATION_NTAR,MATCH(B318,PT_DIFFERENTIATION_NTAR_ID,0))</f>
        <v/>
      </c>
      <c r="H318" s="760"/>
      <c r="I318" s="947"/>
      <c r="J318" s="973"/>
      <c r="K318" s="363"/>
      <c r="L318" s="760" t="s">
        <v>306</v>
      </c>
      <c r="M318" s="198"/>
      <c r="N318" s="193"/>
      <c r="O318" s="66"/>
      <c r="P318" s="66"/>
      <c r="AH318" s="10">
        <v>0</v>
      </c>
    </row>
    <row r="319" spans="1:34" s="10" customFormat="1" ht="18.75" hidden="1" customHeight="1">
      <c r="A319" s="33"/>
      <c r="B319" s="33"/>
      <c r="C319" s="3" t="s">
        <v>1144</v>
      </c>
      <c r="D319" s="1438"/>
      <c r="E319" s="1239"/>
      <c r="F319" s="1377"/>
      <c r="G319" s="1413"/>
      <c r="H319" s="821"/>
      <c r="I319" s="51" t="s">
        <v>1143</v>
      </c>
      <c r="J319" s="108"/>
      <c r="K319" s="821"/>
      <c r="L319" s="105"/>
      <c r="M319" s="198"/>
      <c r="N319" s="193"/>
      <c r="O319" s="66"/>
      <c r="P319" s="66"/>
      <c r="AH319" s="10">
        <v>0</v>
      </c>
    </row>
    <row r="320" spans="1:34" s="10" customFormat="1" ht="0.75" hidden="1" customHeight="1">
      <c r="A320" s="33"/>
      <c r="B320" s="33"/>
      <c r="C320" s="3" t="s">
        <v>1153</v>
      </c>
      <c r="D320" s="1438"/>
      <c r="E320" s="1239"/>
      <c r="F320" s="1377"/>
      <c r="G320" s="224"/>
      <c r="H320" s="821"/>
      <c r="I320" s="51"/>
      <c r="J320" s="108"/>
      <c r="K320" s="821"/>
      <c r="L320" s="105"/>
      <c r="M320" s="198"/>
      <c r="N320" s="193"/>
      <c r="O320" s="66"/>
      <c r="P320" s="66"/>
      <c r="AH320" s="10">
        <v>0</v>
      </c>
    </row>
    <row r="321" spans="1:34" s="10" customFormat="1" ht="18.75" hidden="1" customHeight="1">
      <c r="A321" s="33" t="s">
        <v>240</v>
      </c>
      <c r="B321" s="33" t="s">
        <v>241</v>
      </c>
      <c r="C321" s="3"/>
      <c r="D321" s="1438"/>
      <c r="E321" s="1239"/>
      <c r="F321" s="1377" t="str">
        <f>INDEX(PT_DIFFERENTIATION_VTAR,MATCH(A321,PT_DIFFERENTIATION_VTAR_ID,0))</f>
        <v>Тариф на подвоз воды</v>
      </c>
      <c r="G321" s="1413" t="str">
        <f>INDEX(PT_DIFFERENTIATION_NTAR,MATCH(B321,PT_DIFFERENTIATION_NTAR_ID,0))</f>
        <v/>
      </c>
      <c r="H321" s="760"/>
      <c r="I321" s="947"/>
      <c r="J321" s="973"/>
      <c r="K321" s="363"/>
      <c r="L321" s="760" t="s">
        <v>306</v>
      </c>
      <c r="M321" s="198"/>
      <c r="N321" s="193"/>
      <c r="O321" s="66"/>
      <c r="P321" s="66"/>
      <c r="AH321" s="10">
        <v>0</v>
      </c>
    </row>
    <row r="322" spans="1:34" s="10" customFormat="1" ht="18.75" hidden="1" customHeight="1">
      <c r="A322" s="33"/>
      <c r="B322" s="33"/>
      <c r="C322" s="3" t="s">
        <v>1144</v>
      </c>
      <c r="D322" s="1438"/>
      <c r="E322" s="1239"/>
      <c r="F322" s="1377"/>
      <c r="G322" s="1413"/>
      <c r="H322" s="821"/>
      <c r="I322" s="51" t="s">
        <v>1143</v>
      </c>
      <c r="J322" s="108"/>
      <c r="K322" s="821"/>
      <c r="L322" s="105"/>
      <c r="M322" s="198"/>
      <c r="N322" s="193"/>
      <c r="O322" s="66"/>
      <c r="P322" s="66"/>
      <c r="AH322" s="10">
        <v>0</v>
      </c>
    </row>
    <row r="323" spans="1:34" s="10" customFormat="1" ht="0.75" hidden="1" customHeight="1">
      <c r="A323" s="33"/>
      <c r="B323" s="33"/>
      <c r="C323" s="3" t="s">
        <v>1153</v>
      </c>
      <c r="D323" s="1438"/>
      <c r="E323" s="1239"/>
      <c r="F323" s="1377"/>
      <c r="G323" s="224"/>
      <c r="H323" s="821"/>
      <c r="I323" s="51"/>
      <c r="J323" s="108"/>
      <c r="K323" s="821"/>
      <c r="L323" s="105"/>
      <c r="M323" s="198"/>
      <c r="N323" s="193"/>
      <c r="O323" s="66"/>
      <c r="P323" s="66"/>
      <c r="AH323" s="10">
        <v>0</v>
      </c>
    </row>
    <row r="324" spans="1:34" s="10" customFormat="1" ht="18.75" hidden="1" customHeight="1">
      <c r="A324" s="33" t="s">
        <v>245</v>
      </c>
      <c r="B324" s="33" t="s">
        <v>246</v>
      </c>
      <c r="C324" s="3"/>
      <c r="D324" s="1438"/>
      <c r="E324" s="1239"/>
      <c r="F324" s="1377" t="str">
        <f>INDEX(PT_DIFFERENTIATION_VTAR,MATCH(A324,PT_DIFFERENTIATION_VTAR_ID,0))</f>
        <v>Тариф на подключение (технологическое присоединение) к централизованной системе холодного водоснабжения</v>
      </c>
      <c r="G324" s="1413" t="str">
        <f>INDEX(PT_DIFFERENTIATION_NTAR,MATCH(B324,PT_DIFFERENTIATION_NTAR_ID,0))</f>
        <v/>
      </c>
      <c r="H324" s="760"/>
      <c r="I324" s="947"/>
      <c r="J324" s="973"/>
      <c r="K324" s="363"/>
      <c r="L324" s="760" t="s">
        <v>306</v>
      </c>
      <c r="M324" s="198"/>
      <c r="N324" s="193"/>
      <c r="O324" s="66"/>
      <c r="P324" s="66"/>
      <c r="AH324" s="10">
        <v>0</v>
      </c>
    </row>
    <row r="325" spans="1:34" s="10" customFormat="1" ht="18.75" hidden="1" customHeight="1">
      <c r="A325" s="33"/>
      <c r="B325" s="33"/>
      <c r="C325" s="3" t="s">
        <v>1144</v>
      </c>
      <c r="D325" s="1438"/>
      <c r="E325" s="1239"/>
      <c r="F325" s="1377"/>
      <c r="G325" s="1413"/>
      <c r="H325" s="821"/>
      <c r="I325" s="51" t="s">
        <v>1143</v>
      </c>
      <c r="J325" s="108"/>
      <c r="K325" s="821"/>
      <c r="L325" s="105"/>
      <c r="M325" s="198"/>
      <c r="N325" s="193"/>
      <c r="O325" s="66"/>
      <c r="P325" s="66"/>
      <c r="AH325" s="10">
        <v>0</v>
      </c>
    </row>
    <row r="326" spans="1:34" s="10" customFormat="1" ht="0.75" hidden="1" customHeight="1">
      <c r="A326" s="33"/>
      <c r="B326" s="33"/>
      <c r="C326" s="3" t="s">
        <v>1153</v>
      </c>
      <c r="D326" s="1438"/>
      <c r="E326" s="1239"/>
      <c r="F326" s="1377"/>
      <c r="G326" s="224"/>
      <c r="H326" s="821"/>
      <c r="I326" s="51"/>
      <c r="J326" s="108"/>
      <c r="K326" s="821"/>
      <c r="L326" s="105"/>
      <c r="M326" s="198"/>
      <c r="N326" s="193"/>
      <c r="O326" s="66"/>
      <c r="P326" s="66"/>
      <c r="AH326" s="10">
        <v>0</v>
      </c>
    </row>
    <row r="327" spans="1:34" s="10" customFormat="1" ht="18.75" hidden="1" customHeight="1">
      <c r="A327" s="33" t="s">
        <v>250</v>
      </c>
      <c r="B327" s="33" t="s">
        <v>251</v>
      </c>
      <c r="C327" s="3"/>
      <c r="D327" s="1438"/>
      <c r="E327" s="1239"/>
      <c r="F327" s="1377" t="str">
        <f>INDEX(PT_DIFFERENTIATION_VTAR,MATCH(A327,PT_DIFFERENTIATION_VTAR_ID,0))</f>
        <v>Тариф на горячую воду (горячее водоснабжение)</v>
      </c>
      <c r="G327" s="1413" t="str">
        <f>INDEX(PT_DIFFERENTIATION_NTAR,MATCH(B327,PT_DIFFERENTIATION_NTAR_ID,0))</f>
        <v/>
      </c>
      <c r="H327" s="760"/>
      <c r="I327" s="947"/>
      <c r="J327" s="973"/>
      <c r="K327" s="363"/>
      <c r="L327" s="760" t="s">
        <v>306</v>
      </c>
      <c r="M327" s="198"/>
      <c r="N327" s="193"/>
      <c r="O327" s="66"/>
      <c r="P327" s="66"/>
      <c r="AH327" s="10">
        <v>0</v>
      </c>
    </row>
    <row r="328" spans="1:34" s="10" customFormat="1" ht="18.75" hidden="1" customHeight="1">
      <c r="A328" s="33"/>
      <c r="B328" s="33"/>
      <c r="C328" s="3" t="s">
        <v>1144</v>
      </c>
      <c r="D328" s="1438"/>
      <c r="E328" s="1239"/>
      <c r="F328" s="1377"/>
      <c r="G328" s="1413"/>
      <c r="H328" s="821"/>
      <c r="I328" s="51" t="s">
        <v>1143</v>
      </c>
      <c r="J328" s="108"/>
      <c r="K328" s="821"/>
      <c r="L328" s="105"/>
      <c r="M328" s="198"/>
      <c r="N328" s="193"/>
      <c r="O328" s="66"/>
      <c r="P328" s="66"/>
      <c r="AH328" s="10">
        <v>0</v>
      </c>
    </row>
    <row r="329" spans="1:34" s="10" customFormat="1" ht="0.75" hidden="1" customHeight="1">
      <c r="A329" s="33"/>
      <c r="B329" s="33"/>
      <c r="C329" s="3" t="s">
        <v>1153</v>
      </c>
      <c r="D329" s="1438"/>
      <c r="E329" s="1239"/>
      <c r="F329" s="1377"/>
      <c r="G329" s="224"/>
      <c r="H329" s="821"/>
      <c r="I329" s="51"/>
      <c r="J329" s="108"/>
      <c r="K329" s="821"/>
      <c r="L329" s="105"/>
      <c r="M329" s="198"/>
      <c r="N329" s="193"/>
      <c r="O329" s="66"/>
      <c r="P329" s="66"/>
      <c r="AH329" s="10">
        <v>0</v>
      </c>
    </row>
    <row r="330" spans="1:34" s="10" customFormat="1" ht="18.75" hidden="1" customHeight="1">
      <c r="A330" s="33" t="s">
        <v>255</v>
      </c>
      <c r="B330" s="33" t="s">
        <v>256</v>
      </c>
      <c r="C330" s="3"/>
      <c r="D330" s="1438"/>
      <c r="E330" s="1239"/>
      <c r="F330" s="1377" t="str">
        <f>INDEX(PT_DIFFERENTIATION_VTAR,MATCH(A330,PT_DIFFERENTIATION_VTAR_ID,0))</f>
        <v>Тариф на транспортировку горячей воды</v>
      </c>
      <c r="G330" s="1413" t="str">
        <f>INDEX(PT_DIFFERENTIATION_NTAR,MATCH(B330,PT_DIFFERENTIATION_NTAR_ID,0))</f>
        <v/>
      </c>
      <c r="H330" s="760"/>
      <c r="I330" s="947"/>
      <c r="J330" s="973"/>
      <c r="K330" s="363"/>
      <c r="L330" s="760" t="s">
        <v>306</v>
      </c>
      <c r="M330" s="198"/>
      <c r="N330" s="193"/>
      <c r="O330" s="66"/>
      <c r="P330" s="66"/>
      <c r="AH330" s="10">
        <v>0</v>
      </c>
    </row>
    <row r="331" spans="1:34" s="10" customFormat="1" ht="18.75" hidden="1" customHeight="1">
      <c r="A331" s="33"/>
      <c r="B331" s="33"/>
      <c r="C331" s="3" t="s">
        <v>1144</v>
      </c>
      <c r="D331" s="1438"/>
      <c r="E331" s="1239"/>
      <c r="F331" s="1377"/>
      <c r="G331" s="1413"/>
      <c r="H331" s="821"/>
      <c r="I331" s="51" t="s">
        <v>1143</v>
      </c>
      <c r="J331" s="108"/>
      <c r="K331" s="821"/>
      <c r="L331" s="105"/>
      <c r="M331" s="198"/>
      <c r="N331" s="193"/>
      <c r="O331" s="66"/>
      <c r="P331" s="66"/>
      <c r="AH331" s="10">
        <v>0</v>
      </c>
    </row>
    <row r="332" spans="1:34" s="10" customFormat="1" ht="0.75" hidden="1" customHeight="1">
      <c r="A332" s="33"/>
      <c r="B332" s="33"/>
      <c r="C332" s="3" t="s">
        <v>1153</v>
      </c>
      <c r="D332" s="1438"/>
      <c r="E332" s="1239"/>
      <c r="F332" s="1377"/>
      <c r="G332" s="224"/>
      <c r="H332" s="821"/>
      <c r="I332" s="51"/>
      <c r="J332" s="108"/>
      <c r="K332" s="821"/>
      <c r="L332" s="105"/>
      <c r="M332" s="198"/>
      <c r="N332" s="193"/>
      <c r="O332" s="66"/>
      <c r="P332" s="66"/>
      <c r="AH332" s="10">
        <v>0</v>
      </c>
    </row>
    <row r="333" spans="1:34" s="10" customFormat="1" ht="18.75" hidden="1" customHeight="1">
      <c r="A333" s="33" t="s">
        <v>260</v>
      </c>
      <c r="B333" s="33" t="s">
        <v>261</v>
      </c>
      <c r="C333" s="3"/>
      <c r="D333" s="1438"/>
      <c r="E333" s="1239"/>
      <c r="F333" s="1377" t="str">
        <f>INDEX(PT_DIFFERENTIATION_VTAR,MATCH(A333,PT_DIFFERENTIATION_VTAR_ID,0))</f>
        <v>Тариф на подключение (технологическое присоединение) к централизованной системе горячего водоснабжения</v>
      </c>
      <c r="G333" s="1413" t="str">
        <f>INDEX(PT_DIFFERENTIATION_NTAR,MATCH(B333,PT_DIFFERENTIATION_NTAR_ID,0))</f>
        <v/>
      </c>
      <c r="H333" s="760"/>
      <c r="I333" s="947"/>
      <c r="J333" s="973"/>
      <c r="K333" s="363"/>
      <c r="L333" s="760" t="s">
        <v>306</v>
      </c>
      <c r="M333" s="198"/>
      <c r="N333" s="193"/>
      <c r="O333" s="66"/>
      <c r="P333" s="66"/>
      <c r="AH333" s="10">
        <v>0</v>
      </c>
    </row>
    <row r="334" spans="1:34" s="10" customFormat="1" ht="18.75" hidden="1" customHeight="1">
      <c r="A334" s="33"/>
      <c r="B334" s="33"/>
      <c r="C334" s="3" t="s">
        <v>1144</v>
      </c>
      <c r="D334" s="1438"/>
      <c r="E334" s="1239"/>
      <c r="F334" s="1377"/>
      <c r="G334" s="1413"/>
      <c r="H334" s="821"/>
      <c r="I334" s="51" t="s">
        <v>1143</v>
      </c>
      <c r="J334" s="108"/>
      <c r="K334" s="821"/>
      <c r="L334" s="105"/>
      <c r="M334" s="198"/>
      <c r="N334" s="193"/>
      <c r="O334" s="66"/>
      <c r="P334" s="66"/>
      <c r="AH334" s="10">
        <v>0</v>
      </c>
    </row>
    <row r="335" spans="1:34" s="10" customFormat="1" ht="0.75" hidden="1" customHeight="1">
      <c r="A335" s="33"/>
      <c r="B335" s="33"/>
      <c r="C335" s="3" t="s">
        <v>1153</v>
      </c>
      <c r="D335" s="1438"/>
      <c r="E335" s="1239"/>
      <c r="F335" s="1377"/>
      <c r="G335" s="224"/>
      <c r="H335" s="821"/>
      <c r="I335" s="51"/>
      <c r="J335" s="108"/>
      <c r="K335" s="821"/>
      <c r="L335" s="105"/>
      <c r="M335" s="198"/>
      <c r="N335" s="193"/>
      <c r="O335" s="66"/>
      <c r="P335" s="66"/>
      <c r="AH335" s="10">
        <v>0</v>
      </c>
    </row>
    <row r="336" spans="1:34" s="10" customFormat="1" ht="18.75" hidden="1" customHeight="1">
      <c r="A336" s="33" t="s">
        <v>265</v>
      </c>
      <c r="B336" s="33" t="s">
        <v>266</v>
      </c>
      <c r="C336" s="3"/>
      <c r="D336" s="1438"/>
      <c r="E336" s="1239"/>
      <c r="F336" s="1377" t="str">
        <f>INDEX(PT_DIFFERENTIATION_VTAR,MATCH(A336,PT_DIFFERENTIATION_VTAR_ID,0))</f>
        <v>Тариф на водоотведение</v>
      </c>
      <c r="G336" s="1413" t="str">
        <f>INDEX(PT_DIFFERENTIATION_NTAR,MATCH(B336,PT_DIFFERENTIATION_NTAR_ID,0))</f>
        <v/>
      </c>
      <c r="H336" s="760"/>
      <c r="I336" s="947"/>
      <c r="J336" s="973"/>
      <c r="K336" s="363"/>
      <c r="L336" s="760" t="s">
        <v>306</v>
      </c>
      <c r="M336" s="198"/>
      <c r="N336" s="193"/>
      <c r="O336" s="66"/>
      <c r="P336" s="66"/>
      <c r="AH336" s="10">
        <v>0</v>
      </c>
    </row>
    <row r="337" spans="1:34" s="10" customFormat="1" ht="18.75" hidden="1" customHeight="1">
      <c r="A337" s="33"/>
      <c r="B337" s="33"/>
      <c r="C337" s="3" t="s">
        <v>1144</v>
      </c>
      <c r="D337" s="1438"/>
      <c r="E337" s="1239"/>
      <c r="F337" s="1377"/>
      <c r="G337" s="1413"/>
      <c r="H337" s="821"/>
      <c r="I337" s="51" t="s">
        <v>1143</v>
      </c>
      <c r="J337" s="108"/>
      <c r="K337" s="821"/>
      <c r="L337" s="105"/>
      <c r="M337" s="198"/>
      <c r="N337" s="193"/>
      <c r="O337" s="66"/>
      <c r="P337" s="66"/>
      <c r="AH337" s="10">
        <v>0</v>
      </c>
    </row>
    <row r="338" spans="1:34" s="10" customFormat="1" ht="0.75" hidden="1" customHeight="1">
      <c r="A338" s="33"/>
      <c r="B338" s="33"/>
      <c r="C338" s="3" t="s">
        <v>1153</v>
      </c>
      <c r="D338" s="1438"/>
      <c r="E338" s="1239"/>
      <c r="F338" s="1377"/>
      <c r="G338" s="224"/>
      <c r="H338" s="821"/>
      <c r="I338" s="51"/>
      <c r="J338" s="108"/>
      <c r="K338" s="821"/>
      <c r="L338" s="105"/>
      <c r="M338" s="198"/>
      <c r="N338" s="193"/>
      <c r="O338" s="66"/>
      <c r="P338" s="66"/>
      <c r="AH338" s="10">
        <v>0</v>
      </c>
    </row>
    <row r="339" spans="1:34" s="10" customFormat="1" ht="18.75" hidden="1" customHeight="1">
      <c r="A339" s="33" t="s">
        <v>270</v>
      </c>
      <c r="B339" s="33" t="s">
        <v>271</v>
      </c>
      <c r="C339" s="3"/>
      <c r="D339" s="1438"/>
      <c r="E339" s="1239"/>
      <c r="F339" s="1377" t="str">
        <f>INDEX(PT_DIFFERENTIATION_VTAR,MATCH(A339,PT_DIFFERENTIATION_VTAR_ID,0))</f>
        <v>Тариф на транспортировку сточных вод</v>
      </c>
      <c r="G339" s="1413" t="str">
        <f>INDEX(PT_DIFFERENTIATION_NTAR,MATCH(B339,PT_DIFFERENTIATION_NTAR_ID,0))</f>
        <v/>
      </c>
      <c r="H339" s="760"/>
      <c r="I339" s="947"/>
      <c r="J339" s="973"/>
      <c r="K339" s="363"/>
      <c r="L339" s="760" t="s">
        <v>306</v>
      </c>
      <c r="M339" s="198"/>
      <c r="N339" s="193"/>
      <c r="O339" s="66"/>
      <c r="P339" s="66"/>
      <c r="AH339" s="10">
        <v>0</v>
      </c>
    </row>
    <row r="340" spans="1:34" s="10" customFormat="1" ht="18.75" hidden="1" customHeight="1">
      <c r="A340" s="33"/>
      <c r="B340" s="33"/>
      <c r="C340" s="3" t="s">
        <v>1144</v>
      </c>
      <c r="D340" s="1438"/>
      <c r="E340" s="1239"/>
      <c r="F340" s="1377"/>
      <c r="G340" s="1413"/>
      <c r="H340" s="821"/>
      <c r="I340" s="51" t="s">
        <v>1143</v>
      </c>
      <c r="J340" s="108"/>
      <c r="K340" s="821"/>
      <c r="L340" s="105"/>
      <c r="M340" s="198"/>
      <c r="N340" s="193"/>
      <c r="O340" s="66"/>
      <c r="P340" s="66"/>
      <c r="AH340" s="10">
        <v>0</v>
      </c>
    </row>
    <row r="341" spans="1:34" s="10" customFormat="1" ht="0.75" hidden="1" customHeight="1">
      <c r="A341" s="33"/>
      <c r="B341" s="33"/>
      <c r="C341" s="3" t="s">
        <v>1153</v>
      </c>
      <c r="D341" s="1438"/>
      <c r="E341" s="1239"/>
      <c r="F341" s="1377"/>
      <c r="G341" s="224"/>
      <c r="H341" s="821"/>
      <c r="I341" s="51"/>
      <c r="J341" s="108"/>
      <c r="K341" s="821"/>
      <c r="L341" s="105"/>
      <c r="M341" s="198"/>
      <c r="N341" s="193"/>
      <c r="O341" s="66"/>
      <c r="P341" s="66"/>
      <c r="AH341" s="10">
        <v>0</v>
      </c>
    </row>
    <row r="342" spans="1:34" s="10" customFormat="1" ht="18.75" hidden="1" customHeight="1">
      <c r="A342" s="33" t="s">
        <v>275</v>
      </c>
      <c r="B342" s="33" t="s">
        <v>276</v>
      </c>
      <c r="C342" s="3"/>
      <c r="D342" s="1438"/>
      <c r="E342" s="1239"/>
      <c r="F342" s="1377" t="str">
        <f>INDEX(PT_DIFFERENTIATION_VTAR,MATCH(A342,PT_DIFFERENTIATION_VTAR_ID,0))</f>
        <v>Тариф на подключение (технологическое присоединение) к централизованной системе водоотведения</v>
      </c>
      <c r="G342" s="1413" t="str">
        <f>INDEX(PT_DIFFERENTIATION_NTAR,MATCH(B342,PT_DIFFERENTIATION_NTAR_ID,0))</f>
        <v/>
      </c>
      <c r="H342" s="760"/>
      <c r="I342" s="947"/>
      <c r="J342" s="973"/>
      <c r="K342" s="363"/>
      <c r="L342" s="760" t="s">
        <v>306</v>
      </c>
      <c r="M342" s="198"/>
      <c r="N342" s="193"/>
      <c r="O342" s="66"/>
      <c r="P342" s="66"/>
      <c r="AH342" s="10">
        <v>0</v>
      </c>
    </row>
    <row r="343" spans="1:34" s="10" customFormat="1" ht="18.75" hidden="1" customHeight="1">
      <c r="A343" s="33"/>
      <c r="B343" s="33"/>
      <c r="C343" s="3" t="s">
        <v>1144</v>
      </c>
      <c r="D343" s="1438"/>
      <c r="E343" s="1239"/>
      <c r="F343" s="1377"/>
      <c r="G343" s="1413"/>
      <c r="H343" s="821"/>
      <c r="I343" s="51" t="s">
        <v>1143</v>
      </c>
      <c r="J343" s="108"/>
      <c r="K343" s="821"/>
      <c r="L343" s="105"/>
      <c r="M343" s="198"/>
      <c r="N343" s="193"/>
      <c r="O343" s="66"/>
      <c r="P343" s="66"/>
      <c r="AH343" s="10">
        <v>0</v>
      </c>
    </row>
    <row r="344" spans="1:34" s="10" customFormat="1" ht="1.1499999999999999" customHeight="1">
      <c r="A344" s="33"/>
      <c r="B344" s="33"/>
      <c r="C344" s="3" t="s">
        <v>1153</v>
      </c>
      <c r="D344" s="1438"/>
      <c r="E344" s="1239"/>
      <c r="F344" s="1377"/>
      <c r="G344" s="224"/>
      <c r="H344" s="821"/>
      <c r="I344" s="51"/>
      <c r="J344" s="108"/>
      <c r="K344" s="821"/>
      <c r="L344" s="105"/>
      <c r="M344" s="198"/>
      <c r="N344" s="193"/>
      <c r="O344" s="66"/>
      <c r="P344" s="66"/>
      <c r="AH344" s="10">
        <v>1</v>
      </c>
    </row>
    <row r="345" spans="1:34" s="33" customFormat="1" ht="3" customHeight="1">
      <c r="E345" s="226"/>
      <c r="F345" s="226"/>
      <c r="G345" s="226"/>
      <c r="H345" s="226"/>
      <c r="I345" s="226"/>
      <c r="J345" s="226"/>
      <c r="K345" s="226"/>
      <c r="L345" s="226"/>
      <c r="M345" s="226"/>
      <c r="O345" s="101"/>
      <c r="P345" s="101"/>
      <c r="AH345" s="33">
        <v>3</v>
      </c>
    </row>
    <row r="346" spans="1:34" ht="26.25" customHeight="1">
      <c r="E346" s="106"/>
      <c r="F346" s="1282"/>
      <c r="G346" s="1282"/>
      <c r="H346" s="1282"/>
      <c r="I346" s="1282"/>
      <c r="J346" s="1282"/>
      <c r="K346" s="1282"/>
      <c r="L346" s="1282"/>
      <c r="M346" s="1282"/>
      <c r="AH346" s="10">
        <v>25</v>
      </c>
    </row>
    <row r="347" spans="1:34" ht="14.25" hidden="1" customHeight="1">
      <c r="A347" s="916" t="s">
        <v>80</v>
      </c>
      <c r="B347" s="916">
        <v>0</v>
      </c>
      <c r="C347" s="3">
        <v>0</v>
      </c>
      <c r="D347" s="28">
        <v>3</v>
      </c>
      <c r="E347" s="10">
        <v>6</v>
      </c>
      <c r="F347" s="10">
        <v>46</v>
      </c>
      <c r="G347" s="10">
        <v>35</v>
      </c>
      <c r="H347" s="10">
        <v>3</v>
      </c>
      <c r="I347" s="10">
        <v>11</v>
      </c>
      <c r="J347" s="10">
        <v>11</v>
      </c>
      <c r="K347" s="10">
        <v>35</v>
      </c>
      <c r="L347" s="10">
        <v>35</v>
      </c>
      <c r="M347" s="10">
        <v>84</v>
      </c>
      <c r="N347" s="10">
        <v>10</v>
      </c>
      <c r="O347" s="66">
        <v>10</v>
      </c>
      <c r="P347" s="66">
        <v>10</v>
      </c>
      <c r="Q347" s="10">
        <v>10</v>
      </c>
      <c r="R347" s="10">
        <v>10</v>
      </c>
      <c r="S347" s="10">
        <v>10</v>
      </c>
      <c r="T347" s="10">
        <v>10</v>
      </c>
      <c r="U347" s="10">
        <v>10</v>
      </c>
      <c r="V347" s="10">
        <v>10</v>
      </c>
      <c r="W347" s="10">
        <v>10</v>
      </c>
      <c r="X347" s="10">
        <v>10</v>
      </c>
      <c r="Y347" s="10">
        <v>10</v>
      </c>
      <c r="Z347" s="10">
        <v>10</v>
      </c>
      <c r="AA347" s="10">
        <v>10</v>
      </c>
      <c r="AB347" s="10">
        <v>10</v>
      </c>
      <c r="AC347" s="10">
        <v>10</v>
      </c>
      <c r="AD347" s="10">
        <v>10</v>
      </c>
      <c r="AE347" s="10">
        <v>10</v>
      </c>
      <c r="AF347" s="10">
        <v>10</v>
      </c>
      <c r="AG347" s="10">
        <v>10</v>
      </c>
      <c r="AH347" s="10">
        <v>14</v>
      </c>
    </row>
  </sheetData>
  <sheetProtection formatColumns="0" formatRows="0" insertRows="0" deleteColumns="0" deleteRows="0" sort="0" autoFilter="0"/>
  <mergeCells count="428">
    <mergeCell ref="G108:G109"/>
    <mergeCell ref="G111:G112"/>
    <mergeCell ref="G117:G118"/>
    <mergeCell ref="G120:G124"/>
    <mergeCell ref="G239:G240"/>
    <mergeCell ref="G245:G246"/>
    <mergeCell ref="G248:G252"/>
    <mergeCell ref="G254:G255"/>
    <mergeCell ref="G208:G209"/>
    <mergeCell ref="G214:G215"/>
    <mergeCell ref="G218:G219"/>
    <mergeCell ref="G221:G222"/>
    <mergeCell ref="G224:G225"/>
    <mergeCell ref="G172:G173"/>
    <mergeCell ref="G175:G176"/>
    <mergeCell ref="G181:G182"/>
    <mergeCell ref="G227:G228"/>
    <mergeCell ref="G230:G231"/>
    <mergeCell ref="G233:G234"/>
    <mergeCell ref="G190:G191"/>
    <mergeCell ref="G193:G194"/>
    <mergeCell ref="G196:G197"/>
    <mergeCell ref="G199:G200"/>
    <mergeCell ref="G169:G170"/>
    <mergeCell ref="G330:G331"/>
    <mergeCell ref="G333:G334"/>
    <mergeCell ref="G336:G337"/>
    <mergeCell ref="G339:G340"/>
    <mergeCell ref="G321:G322"/>
    <mergeCell ref="G324:G325"/>
    <mergeCell ref="G327:G328"/>
    <mergeCell ref="G312:G316"/>
    <mergeCell ref="G269:G270"/>
    <mergeCell ref="G272:G273"/>
    <mergeCell ref="G275:G276"/>
    <mergeCell ref="G278:G279"/>
    <mergeCell ref="G282:G283"/>
    <mergeCell ref="G288:G289"/>
    <mergeCell ref="G291:G292"/>
    <mergeCell ref="G294:G295"/>
    <mergeCell ref="G297:G298"/>
    <mergeCell ref="G300:G301"/>
    <mergeCell ref="G303:G304"/>
    <mergeCell ref="G309:G310"/>
    <mergeCell ref="G306:G307"/>
    <mergeCell ref="G63:G64"/>
    <mergeCell ref="G66:G67"/>
    <mergeCell ref="G69:G70"/>
    <mergeCell ref="G72:G73"/>
    <mergeCell ref="G75:G76"/>
    <mergeCell ref="G78:G79"/>
    <mergeCell ref="G81:G82"/>
    <mergeCell ref="G84:G85"/>
    <mergeCell ref="G90:G91"/>
    <mergeCell ref="F342:F344"/>
    <mergeCell ref="M282:M285"/>
    <mergeCell ref="D336:D338"/>
    <mergeCell ref="E336:E338"/>
    <mergeCell ref="F336:F338"/>
    <mergeCell ref="D339:D341"/>
    <mergeCell ref="E339:E341"/>
    <mergeCell ref="F339:F341"/>
    <mergeCell ref="D330:D332"/>
    <mergeCell ref="E330:E332"/>
    <mergeCell ref="F330:F332"/>
    <mergeCell ref="D333:D335"/>
    <mergeCell ref="E333:E335"/>
    <mergeCell ref="F333:F335"/>
    <mergeCell ref="D324:D326"/>
    <mergeCell ref="E324:E326"/>
    <mergeCell ref="F324:F326"/>
    <mergeCell ref="D327:D329"/>
    <mergeCell ref="E327:E329"/>
    <mergeCell ref="F327:F329"/>
    <mergeCell ref="D318:D320"/>
    <mergeCell ref="E318:E320"/>
    <mergeCell ref="G342:G343"/>
    <mergeCell ref="G285:G286"/>
    <mergeCell ref="F275:F277"/>
    <mergeCell ref="F291:F293"/>
    <mergeCell ref="D309:D311"/>
    <mergeCell ref="E309:E311"/>
    <mergeCell ref="F309:F311"/>
    <mergeCell ref="D312:D317"/>
    <mergeCell ref="E312:E317"/>
    <mergeCell ref="F312:F317"/>
    <mergeCell ref="D300:D302"/>
    <mergeCell ref="E300:E302"/>
    <mergeCell ref="F300:F302"/>
    <mergeCell ref="D303:D305"/>
    <mergeCell ref="E303:E305"/>
    <mergeCell ref="F303:F305"/>
    <mergeCell ref="D306:D308"/>
    <mergeCell ref="E306:E308"/>
    <mergeCell ref="F306:F308"/>
    <mergeCell ref="D260:D262"/>
    <mergeCell ref="E260:E262"/>
    <mergeCell ref="F260:F262"/>
    <mergeCell ref="G257:G258"/>
    <mergeCell ref="G260:G261"/>
    <mergeCell ref="G263:G264"/>
    <mergeCell ref="D278:D280"/>
    <mergeCell ref="E278:E280"/>
    <mergeCell ref="F278:F280"/>
    <mergeCell ref="D269:D271"/>
    <mergeCell ref="E269:E271"/>
    <mergeCell ref="F269:F271"/>
    <mergeCell ref="D272:D274"/>
    <mergeCell ref="E272:E274"/>
    <mergeCell ref="F272:F274"/>
    <mergeCell ref="D263:D265"/>
    <mergeCell ref="E263:E265"/>
    <mergeCell ref="F263:F265"/>
    <mergeCell ref="D266:D268"/>
    <mergeCell ref="E266:E268"/>
    <mergeCell ref="F266:F268"/>
    <mergeCell ref="G266:G267"/>
    <mergeCell ref="D275:D277"/>
    <mergeCell ref="E275:E277"/>
    <mergeCell ref="D239:D241"/>
    <mergeCell ref="E239:E241"/>
    <mergeCell ref="F239:F241"/>
    <mergeCell ref="D245:D247"/>
    <mergeCell ref="E245:E247"/>
    <mergeCell ref="F245:F247"/>
    <mergeCell ref="D242:D244"/>
    <mergeCell ref="E242:E244"/>
    <mergeCell ref="F242:F244"/>
    <mergeCell ref="D248:D253"/>
    <mergeCell ref="E248:E253"/>
    <mergeCell ref="F248:F253"/>
    <mergeCell ref="G242:G243"/>
    <mergeCell ref="D257:D259"/>
    <mergeCell ref="E257:E259"/>
    <mergeCell ref="F257:F259"/>
    <mergeCell ref="D254:D256"/>
    <mergeCell ref="E254:E256"/>
    <mergeCell ref="F254:F256"/>
    <mergeCell ref="D233:D235"/>
    <mergeCell ref="E233:E235"/>
    <mergeCell ref="F233:F235"/>
    <mergeCell ref="D236:D238"/>
    <mergeCell ref="E236:E238"/>
    <mergeCell ref="F236:F238"/>
    <mergeCell ref="G236:G237"/>
    <mergeCell ref="D221:D223"/>
    <mergeCell ref="E221:E223"/>
    <mergeCell ref="F221:F223"/>
    <mergeCell ref="D227:D229"/>
    <mergeCell ref="E227:E229"/>
    <mergeCell ref="F227:F229"/>
    <mergeCell ref="D230:D232"/>
    <mergeCell ref="E230:E232"/>
    <mergeCell ref="F230:F232"/>
    <mergeCell ref="D202:D204"/>
    <mergeCell ref="E202:E204"/>
    <mergeCell ref="F202:F204"/>
    <mergeCell ref="D205:D207"/>
    <mergeCell ref="E205:E207"/>
    <mergeCell ref="F205:F207"/>
    <mergeCell ref="G202:G203"/>
    <mergeCell ref="G205:G206"/>
    <mergeCell ref="D224:D226"/>
    <mergeCell ref="E224:E226"/>
    <mergeCell ref="F224:F226"/>
    <mergeCell ref="D214:D216"/>
    <mergeCell ref="E214:E216"/>
    <mergeCell ref="F214:F216"/>
    <mergeCell ref="D218:D220"/>
    <mergeCell ref="E218:E220"/>
    <mergeCell ref="F218:F220"/>
    <mergeCell ref="D208:D210"/>
    <mergeCell ref="E208:E210"/>
    <mergeCell ref="F208:F210"/>
    <mergeCell ref="D211:D213"/>
    <mergeCell ref="E211:E213"/>
    <mergeCell ref="F211:F213"/>
    <mergeCell ref="G211:G212"/>
    <mergeCell ref="D181:D183"/>
    <mergeCell ref="E181:E183"/>
    <mergeCell ref="F181:F183"/>
    <mergeCell ref="D184:D189"/>
    <mergeCell ref="E184:E189"/>
    <mergeCell ref="F184:F189"/>
    <mergeCell ref="G184:G188"/>
    <mergeCell ref="D196:D198"/>
    <mergeCell ref="E196:E198"/>
    <mergeCell ref="F196:F198"/>
    <mergeCell ref="D199:D201"/>
    <mergeCell ref="E199:E201"/>
    <mergeCell ref="F199:F201"/>
    <mergeCell ref="D190:D192"/>
    <mergeCell ref="E190:E192"/>
    <mergeCell ref="F190:F192"/>
    <mergeCell ref="D193:D195"/>
    <mergeCell ref="E193:E195"/>
    <mergeCell ref="F193:F195"/>
    <mergeCell ref="F160:F162"/>
    <mergeCell ref="D163:D165"/>
    <mergeCell ref="E163:E165"/>
    <mergeCell ref="F163:F165"/>
    <mergeCell ref="D172:D174"/>
    <mergeCell ref="E172:E174"/>
    <mergeCell ref="F172:F174"/>
    <mergeCell ref="D175:D177"/>
    <mergeCell ref="E175:E177"/>
    <mergeCell ref="F175:F177"/>
    <mergeCell ref="G147:G148"/>
    <mergeCell ref="G150:G151"/>
    <mergeCell ref="G154:G155"/>
    <mergeCell ref="G157:G158"/>
    <mergeCell ref="D166:D168"/>
    <mergeCell ref="E166:E168"/>
    <mergeCell ref="F166:F168"/>
    <mergeCell ref="D169:D171"/>
    <mergeCell ref="E169:E171"/>
    <mergeCell ref="F169:F171"/>
    <mergeCell ref="D160:D162"/>
    <mergeCell ref="D157:D159"/>
    <mergeCell ref="E157:E159"/>
    <mergeCell ref="F157:F159"/>
    <mergeCell ref="D147:D149"/>
    <mergeCell ref="E147:E149"/>
    <mergeCell ref="F147:F149"/>
    <mergeCell ref="D150:D152"/>
    <mergeCell ref="E150:E152"/>
    <mergeCell ref="F150:F152"/>
    <mergeCell ref="D154:D156"/>
    <mergeCell ref="E154:E156"/>
    <mergeCell ref="F154:F156"/>
    <mergeCell ref="E160:E162"/>
    <mergeCell ref="D141:D143"/>
    <mergeCell ref="E141:E143"/>
    <mergeCell ref="F141:F143"/>
    <mergeCell ref="D144:D146"/>
    <mergeCell ref="E144:E146"/>
    <mergeCell ref="F144:F146"/>
    <mergeCell ref="D135:D137"/>
    <mergeCell ref="E135:E137"/>
    <mergeCell ref="F135:F137"/>
    <mergeCell ref="D138:D140"/>
    <mergeCell ref="E138:E140"/>
    <mergeCell ref="F138:F140"/>
    <mergeCell ref="D120:D125"/>
    <mergeCell ref="E120:E125"/>
    <mergeCell ref="F120:F125"/>
    <mergeCell ref="D126:D128"/>
    <mergeCell ref="E126:E128"/>
    <mergeCell ref="F126:F128"/>
    <mergeCell ref="G126:G127"/>
    <mergeCell ref="G129:G130"/>
    <mergeCell ref="G132:G133"/>
    <mergeCell ref="D129:D131"/>
    <mergeCell ref="E129:E131"/>
    <mergeCell ref="F129:F131"/>
    <mergeCell ref="D132:D134"/>
    <mergeCell ref="E132:E134"/>
    <mergeCell ref="F132:F134"/>
    <mergeCell ref="D117:D119"/>
    <mergeCell ref="E117:E119"/>
    <mergeCell ref="F117:F119"/>
    <mergeCell ref="D105:D107"/>
    <mergeCell ref="E105:E107"/>
    <mergeCell ref="F105:F107"/>
    <mergeCell ref="D108:D110"/>
    <mergeCell ref="E108:E110"/>
    <mergeCell ref="F108:F110"/>
    <mergeCell ref="E78:E80"/>
    <mergeCell ref="D81:D83"/>
    <mergeCell ref="E81:E83"/>
    <mergeCell ref="D96:D98"/>
    <mergeCell ref="E96:E98"/>
    <mergeCell ref="D111:D113"/>
    <mergeCell ref="E111:E113"/>
    <mergeCell ref="F111:F113"/>
    <mergeCell ref="F99:F101"/>
    <mergeCell ref="D102:D104"/>
    <mergeCell ref="E102:E104"/>
    <mergeCell ref="F102:F104"/>
    <mergeCell ref="D84:D86"/>
    <mergeCell ref="E84:E86"/>
    <mergeCell ref="F84:F86"/>
    <mergeCell ref="D90:D92"/>
    <mergeCell ref="E90:E92"/>
    <mergeCell ref="F90:F92"/>
    <mergeCell ref="D99:D101"/>
    <mergeCell ref="E99:E101"/>
    <mergeCell ref="F87:L87"/>
    <mergeCell ref="H88:I88"/>
    <mergeCell ref="F89:L89"/>
    <mergeCell ref="G105:G106"/>
    <mergeCell ref="D45:D47"/>
    <mergeCell ref="E45:E47"/>
    <mergeCell ref="F45:F47"/>
    <mergeCell ref="D66:D68"/>
    <mergeCell ref="E66:E68"/>
    <mergeCell ref="F66:F68"/>
    <mergeCell ref="D69:D71"/>
    <mergeCell ref="E69:E71"/>
    <mergeCell ref="F69:F71"/>
    <mergeCell ref="D60:D62"/>
    <mergeCell ref="E60:E62"/>
    <mergeCell ref="F60:F62"/>
    <mergeCell ref="D63:D65"/>
    <mergeCell ref="E63:E65"/>
    <mergeCell ref="F63:F65"/>
    <mergeCell ref="D51:D53"/>
    <mergeCell ref="E51:E53"/>
    <mergeCell ref="D54:D59"/>
    <mergeCell ref="E54:E59"/>
    <mergeCell ref="D48:D50"/>
    <mergeCell ref="G45:G46"/>
    <mergeCell ref="G51:G52"/>
    <mergeCell ref="G54:G58"/>
    <mergeCell ref="G60:G61"/>
    <mergeCell ref="M218:M221"/>
    <mergeCell ref="M90:M93"/>
    <mergeCell ref="F153:L153"/>
    <mergeCell ref="M154:M157"/>
    <mergeCell ref="F217:L217"/>
    <mergeCell ref="F51:F53"/>
    <mergeCell ref="F54:F59"/>
    <mergeCell ref="F78:F80"/>
    <mergeCell ref="F81:F83"/>
    <mergeCell ref="F93:F95"/>
    <mergeCell ref="F96:F98"/>
    <mergeCell ref="M24:M86"/>
    <mergeCell ref="G42:G43"/>
    <mergeCell ref="G135:G136"/>
    <mergeCell ref="G138:G139"/>
    <mergeCell ref="G141:G142"/>
    <mergeCell ref="G144:G145"/>
    <mergeCell ref="G160:G161"/>
    <mergeCell ref="G93:G94"/>
    <mergeCell ref="G96:G97"/>
    <mergeCell ref="F346:M346"/>
    <mergeCell ref="F281:L281"/>
    <mergeCell ref="D282:D284"/>
    <mergeCell ref="E282:E284"/>
    <mergeCell ref="F282:F284"/>
    <mergeCell ref="D285:D287"/>
    <mergeCell ref="E285:E287"/>
    <mergeCell ref="F285:F287"/>
    <mergeCell ref="D288:D290"/>
    <mergeCell ref="D294:D296"/>
    <mergeCell ref="E294:E296"/>
    <mergeCell ref="F294:F296"/>
    <mergeCell ref="D297:D299"/>
    <mergeCell ref="E297:E299"/>
    <mergeCell ref="F297:F299"/>
    <mergeCell ref="E288:E290"/>
    <mergeCell ref="F288:F290"/>
    <mergeCell ref="D291:D293"/>
    <mergeCell ref="E291:E293"/>
    <mergeCell ref="F318:F320"/>
    <mergeCell ref="D321:D323"/>
    <mergeCell ref="E321:E323"/>
    <mergeCell ref="D342:D344"/>
    <mergeCell ref="E342:E344"/>
    <mergeCell ref="F321:F323"/>
    <mergeCell ref="G318:G319"/>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4:D116"/>
    <mergeCell ref="E114:E116"/>
    <mergeCell ref="F114:F116"/>
    <mergeCell ref="G114:G115"/>
    <mergeCell ref="D178:D180"/>
    <mergeCell ref="E178:E180"/>
    <mergeCell ref="F178:F180"/>
    <mergeCell ref="G178:G179"/>
    <mergeCell ref="D72:D74"/>
    <mergeCell ref="E72:E74"/>
    <mergeCell ref="F72:F74"/>
    <mergeCell ref="D93:D95"/>
    <mergeCell ref="E93:E95"/>
    <mergeCell ref="D75:D77"/>
    <mergeCell ref="E75:E77"/>
    <mergeCell ref="F75:F77"/>
    <mergeCell ref="G163:G164"/>
    <mergeCell ref="G166:G167"/>
    <mergeCell ref="E48:E50"/>
    <mergeCell ref="F48:F50"/>
    <mergeCell ref="G99:G100"/>
    <mergeCell ref="G102:G103"/>
    <mergeCell ref="D78:D8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7 I60:J60 I63:J63 I66:J66 I69:J69 I72:J72 I75:J75 I78:J78 I81:J81 I218:J218 I221:J221 I224:J224 I227:J227 I230:J230 I233:J233 I236:J236 I239:J239 I245:J245 I248:J251 I254:J254 I257:J257 I260:J260 I263:J263 I266:J266 I269:J269 I272:J272 I8:J8 I84:J84 I150:J150 I93:J93 I96:J96 I99:J99 I102:J102 I105:J105 I108:J108 I111:J111 I117:J117 I120:J123 I126:J126 I129:J129 I132:J132 I135:J135 I138:J138 I141:J141 I144:J144 I147:J147 I154:J154 I90:J90 I157:J157 I160:J160 I163:J163 I166:J166 I169:J169 I172:J172 I175:J175 I181:J181 I184:J187 I190:J190 I193:J193 I196:J196 I202:J202 I205:J205 I208:J208 I211:J211 I214:J214 I199:J199 I275:J275 I278:J278 I282:J282 I285:J285 I288:J288 I291:J291 I294:J294 I297:J297 I300:J300 I303:J303 I309:J309 I312:J315 I318:J318 I321:J321 I324:J324 I327:J327 I330:J330 I333:J333 I336:J336 I339:J339 I342:J342 I2:J2 I5:J5 I48:J48 I114:J114 I178:J178 I242:J242 I306:J30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8">
      <formula1>900</formula1>
    </dataValidation>
    <dataValidation type="textLength" operator="lessThanOrEqual" allowBlank="1" showInputMessage="1" showErrorMessage="1" errorTitle="Ошибка" error="Допускается ввод не более 900 символов!" sqref="M154:M155 M218:M219 M23 M90:M91 M282:M283">
      <formula1>900</formula1>
    </dataValidation>
    <dataValidation type="decimal" allowBlank="1" showErrorMessage="1" errorTitle="Ошибка" error="Допускается ввод только действительных чисел!" sqref="K218 K221 K224 K227 K230 K233 K236 K239 K245 K248:K251 K254 K257 K260 K263 K266 K269 K272 K275 K10 K90 K147 K144 K141 K138 K135 K132 K129 K126 K120:K123 K117 K111 K108 K105 K102 K99 K96 K93 K154 K150 K157 K160 K163 K166 K169 K172 K175 K181 K184:K187 K190 K193 K196 K202 K205 K208 K211 K214 K199 K278 K282 K285 K288 K291 K294 K297 K300 K303 K309 K312:K315 K318 K321 K324 K327 K330 K333 K336 K339 K342 K5 K114 K178 K242 K306">
      <formula1>-9.99999999999999E+23</formula1>
      <formula2>9.99999999999999E+23</formula2>
    </dataValidation>
  </dataValidations>
  <hyperlinks>
    <hyperlink ref="L88" r:id="rId1"/>
  </hyperlinks>
  <pageMargins left="0.70866141732283472" right="0.70866141732283472" top="0.74803149606299213" bottom="0.74803149606299213" header="0.31496062992125984" footer="0.31496062992125984"/>
  <pageSetup paperSize="9" scale="55" orientation="landscape"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32" hidden="1" customWidth="1"/>
    <col min="2" max="2" width="9.140625" style="60" hidden="1" customWidth="1"/>
    <col min="3" max="3" width="3" style="28" customWidth="1"/>
    <col min="4" max="4" width="6" style="10" customWidth="1"/>
    <col min="5" max="5" width="53" style="10" customWidth="1"/>
    <col min="6" max="7" width="35" style="10" customWidth="1"/>
    <col min="8" max="8" width="89" style="10" customWidth="1"/>
    <col min="9" max="9" width="10" style="10" customWidth="1"/>
    <col min="10" max="11" width="10" style="66" customWidth="1"/>
    <col min="12" max="17" width="10" style="10" customWidth="1"/>
    <col min="18" max="18" width="10.5703125" style="10" hidden="1"/>
  </cols>
  <sheetData>
    <row r="1" spans="1:18" ht="22.5" hidden="1" customHeight="1">
      <c r="N1" s="147"/>
      <c r="O1" s="147"/>
      <c r="Q1" s="147"/>
      <c r="R1" s="10" t="s">
        <v>14</v>
      </c>
    </row>
    <row r="2" spans="1:18" s="10" customFormat="1" ht="18.75" hidden="1" customHeight="1">
      <c r="A2" s="33"/>
      <c r="B2" s="60"/>
      <c r="C2" s="938" t="s">
        <v>493</v>
      </c>
      <c r="D2" s="61"/>
      <c r="E2" s="494"/>
      <c r="F2" s="148"/>
      <c r="G2" s="114"/>
      <c r="I2" s="66"/>
      <c r="J2" s="66"/>
      <c r="R2" s="10">
        <v>0</v>
      </c>
    </row>
    <row r="3" spans="1:18" ht="14.25" hidden="1" customHeight="1">
      <c r="R3" s="10">
        <v>0</v>
      </c>
    </row>
    <row r="4" spans="1:18" ht="6.4" customHeight="1">
      <c r="C4" s="27"/>
      <c r="D4" s="9"/>
      <c r="E4" s="9"/>
      <c r="F4" s="9"/>
      <c r="G4" s="19"/>
      <c r="H4" s="19"/>
      <c r="R4" s="10">
        <v>6</v>
      </c>
    </row>
    <row r="5" spans="1:18" ht="34.5" customHeight="1">
      <c r="C5" s="27"/>
      <c r="D5" s="1196"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197"/>
      <c r="F5" s="1197"/>
      <c r="G5" s="1198"/>
      <c r="H5" s="153"/>
      <c r="R5" s="10">
        <v>33</v>
      </c>
    </row>
    <row r="6" spans="1:18" s="10" customFormat="1" ht="18" customHeight="1">
      <c r="A6" s="32"/>
      <c r="B6" s="60"/>
      <c r="C6" s="27"/>
      <c r="D6" s="1258" t="str">
        <f>IF(org=0,"Не определено",org)</f>
        <v>Общество с ограниченной ответственностью "Березовский рудник"</v>
      </c>
      <c r="E6" s="1259"/>
      <c r="F6" s="1259"/>
      <c r="G6" s="1260"/>
      <c r="H6" s="153"/>
      <c r="J6" s="66"/>
      <c r="K6" s="66"/>
      <c r="R6" s="10">
        <v>17</v>
      </c>
    </row>
    <row r="7" spans="1:18" ht="14.65" customHeight="1">
      <c r="C7" s="27"/>
      <c r="D7" s="9"/>
      <c r="E7" s="13"/>
      <c r="F7" s="13"/>
      <c r="G7" s="432"/>
      <c r="H7" s="98"/>
      <c r="R7" s="10">
        <v>14</v>
      </c>
    </row>
    <row r="8" spans="1:18" ht="14.65" customHeight="1">
      <c r="C8" s="27"/>
      <c r="D8" s="1244" t="s">
        <v>300</v>
      </c>
      <c r="E8" s="1244"/>
      <c r="F8" s="1244"/>
      <c r="G8" s="1244"/>
      <c r="H8" s="1387" t="s">
        <v>301</v>
      </c>
      <c r="R8" s="10">
        <v>14</v>
      </c>
    </row>
    <row r="9" spans="1:18" ht="24" customHeight="1">
      <c r="C9" s="27"/>
      <c r="D9" s="35" t="s">
        <v>86</v>
      </c>
      <c r="E9" s="38" t="s">
        <v>302</v>
      </c>
      <c r="F9" s="38" t="s">
        <v>303</v>
      </c>
      <c r="G9" s="38" t="s">
        <v>390</v>
      </c>
      <c r="H9" s="1387"/>
      <c r="R9" s="10">
        <v>23</v>
      </c>
    </row>
    <row r="10" spans="1:18" ht="40.9" customHeight="1">
      <c r="A10" s="33"/>
      <c r="C10" s="27"/>
      <c r="D10" s="61" t="s">
        <v>107</v>
      </c>
      <c r="E10" s="101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48" t="s">
        <v>1154</v>
      </c>
      <c r="G10" s="1108" t="s">
        <v>1155</v>
      </c>
      <c r="H10" s="1190" t="s">
        <v>1156</v>
      </c>
      <c r="R10" s="10">
        <v>14</v>
      </c>
    </row>
    <row r="11" spans="1:18" ht="34.15" customHeight="1">
      <c r="A11" s="33"/>
      <c r="C11" s="27"/>
      <c r="D11" s="61" t="s">
        <v>108</v>
      </c>
      <c r="E11" s="101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48" t="s">
        <v>1154</v>
      </c>
      <c r="G11" s="1108" t="s">
        <v>1155</v>
      </c>
      <c r="H11" s="1191"/>
      <c r="R11" s="10">
        <v>14</v>
      </c>
    </row>
    <row r="12" spans="1:18" ht="40.9" customHeight="1">
      <c r="A12" s="33"/>
      <c r="C12" s="22"/>
      <c r="D12" s="61" t="s">
        <v>88</v>
      </c>
      <c r="E12" s="120" t="str">
        <f>"Сведения о планировании закупочных процедур"&amp;IF(TEMPLATE_SPHERE="TKO"," &lt;1&gt;","")</f>
        <v>Сведения о планировании закупочных процедур</v>
      </c>
      <c r="F12" s="148" t="s">
        <v>1154</v>
      </c>
      <c r="G12" s="1108" t="s">
        <v>1155</v>
      </c>
      <c r="H12" s="119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6"/>
      <c r="K12" s="10"/>
      <c r="R12" s="10">
        <v>14</v>
      </c>
    </row>
    <row r="13" spans="1:18" ht="39.200000000000003" customHeight="1">
      <c r="A13" s="33"/>
      <c r="C13" s="22"/>
      <c r="D13" s="61" t="s">
        <v>89</v>
      </c>
      <c r="E13" s="120" t="str">
        <f>"Сведения о результатах проведения закупочных процедур"&amp;IF(TEMPLATE_SPHERE="TKO"," &lt;1&gt;","")</f>
        <v>Сведения о результатах проведения закупочных процедур</v>
      </c>
      <c r="F13" s="148" t="s">
        <v>1154</v>
      </c>
      <c r="G13" s="1108" t="s">
        <v>1155</v>
      </c>
      <c r="H13" s="1191"/>
      <c r="I13" s="66"/>
      <c r="K13" s="10"/>
      <c r="R13" s="10">
        <v>14</v>
      </c>
    </row>
    <row r="14" spans="1:18" ht="14.65" customHeight="1">
      <c r="A14" s="33"/>
      <c r="C14" s="27"/>
      <c r="D14" s="39"/>
      <c r="E14" s="51" t="s">
        <v>322</v>
      </c>
      <c r="F14" s="108"/>
      <c r="G14" s="105"/>
      <c r="H14" s="1192"/>
      <c r="R14" s="10">
        <v>14</v>
      </c>
    </row>
    <row r="15" spans="1:18" s="10" customFormat="1" ht="14.65" customHeight="1">
      <c r="A15" s="33"/>
      <c r="B15" s="60"/>
      <c r="C15" s="27"/>
      <c r="D15" s="222"/>
      <c r="E15" s="900"/>
      <c r="F15" s="901"/>
      <c r="G15" s="902"/>
      <c r="H15" s="903"/>
      <c r="J15" s="66"/>
      <c r="K15" s="66"/>
      <c r="R15" s="10">
        <v>14</v>
      </c>
    </row>
    <row r="16" spans="1:18" ht="14.65" customHeight="1">
      <c r="D16" s="195"/>
      <c r="E16" s="1282"/>
      <c r="F16" s="1282"/>
      <c r="G16" s="1282"/>
      <c r="H16" s="1282"/>
      <c r="R16" s="10">
        <v>14</v>
      </c>
    </row>
    <row r="17" spans="1:18" ht="22.5" hidden="1" customHeight="1">
      <c r="A17" s="32" t="s">
        <v>80</v>
      </c>
      <c r="B17" s="60">
        <v>0</v>
      </c>
      <c r="C17" s="28">
        <v>3</v>
      </c>
      <c r="D17" s="10">
        <v>6</v>
      </c>
      <c r="E17" s="10">
        <v>53</v>
      </c>
      <c r="F17" s="10">
        <v>35</v>
      </c>
      <c r="G17" s="10">
        <v>35</v>
      </c>
      <c r="H17" s="10">
        <v>89</v>
      </c>
      <c r="I17" s="10">
        <v>10</v>
      </c>
      <c r="J17" s="66">
        <v>10</v>
      </c>
      <c r="K17" s="66">
        <v>10</v>
      </c>
      <c r="L17" s="10">
        <v>10</v>
      </c>
      <c r="M17" s="10">
        <v>10</v>
      </c>
      <c r="N17" s="10">
        <v>10</v>
      </c>
      <c r="O17" s="10">
        <v>10</v>
      </c>
      <c r="P17" s="10">
        <v>10</v>
      </c>
      <c r="Q17" s="10">
        <v>10</v>
      </c>
      <c r="R17" s="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0866141732283472" right="0.70866141732283472" top="0.74803149606299213" bottom="0.74803149606299213" header="0.31496062992125984" footer="0.31496062992125984"/>
  <pageSetup paperSize="9" scale="67" orientation="landscape" r:id="rId5"/>
  <headerFooter>
    <oddHeader>&amp;L&amp;C&amp;R</oddHeader>
    <oddFooter>&amp;L&amp;C&amp;R</oddFooter>
    <evenHeader>&amp;L&amp;C&amp;R</evenHeader>
    <evenFooter>&amp;L&amp;C&amp;R</even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R146"/>
  <sheetViews>
    <sheetView showGridLines="0" zoomScale="90" workbookViewId="0">
      <pane xSplit="6" ySplit="12" topLeftCell="G79" activePane="bottomRight" state="frozen"/>
      <selection pane="topRight" activeCell="G1" sqref="G1"/>
      <selection pane="bottomLeft" activeCell="A13" sqref="A13"/>
      <selection pane="bottomRight" activeCell="O84" sqref="O84:O86"/>
    </sheetView>
  </sheetViews>
  <sheetFormatPr defaultColWidth="9.140625" defaultRowHeight="11.25" customHeight="1"/>
  <cols>
    <col min="1" max="2" width="3.7109375" style="66" hidden="1" customWidth="1"/>
    <col min="3" max="3" width="3" style="34" customWidth="1"/>
    <col min="4" max="4" width="6" style="34" customWidth="1"/>
    <col min="5" max="5" width="42" style="34" customWidth="1"/>
    <col min="6" max="6" width="15" style="34" customWidth="1"/>
    <col min="7" max="7" width="42" style="34" customWidth="1"/>
    <col min="8" max="8" width="3" style="34" customWidth="1"/>
    <col min="9" max="9" width="5" style="34" customWidth="1"/>
    <col min="10" max="10" width="47" style="34" customWidth="1"/>
    <col min="11" max="12" width="3" style="34" customWidth="1"/>
    <col min="13" max="13" width="5" style="34" customWidth="1"/>
    <col min="14" max="14" width="28" style="34" customWidth="1"/>
    <col min="15" max="16" width="3" style="34" customWidth="1"/>
    <col min="17" max="17" width="5" style="34" customWidth="1"/>
    <col min="18" max="18" width="34" style="34" customWidth="1"/>
    <col min="19" max="20" width="3.7109375" style="34" hidden="1" customWidth="1"/>
    <col min="21" max="21" width="5.7109375" style="34" hidden="1" customWidth="1"/>
    <col min="22" max="22" width="34.42578125" style="34" hidden="1" customWidth="1"/>
    <col min="23" max="23" width="30" style="34" customWidth="1"/>
    <col min="24" max="24" width="3" style="34" customWidth="1"/>
    <col min="25" max="28" width="9.85546875" style="16" hidden="1" customWidth="1"/>
    <col min="29" max="29" width="27" style="16" hidden="1" customWidth="1"/>
    <col min="30" max="30" width="10.5703125" style="16" hidden="1" customWidth="1"/>
    <col min="31" max="31" width="10.7109375" style="16" hidden="1" customWidth="1"/>
    <col min="32" max="32" width="10" style="16" hidden="1" customWidth="1"/>
    <col min="33" max="33" width="12.85546875" style="16" hidden="1" customWidth="1"/>
    <col min="34" max="34" width="24.42578125" style="16" hidden="1" customWidth="1"/>
    <col min="35" max="35" width="15.85546875" style="16" hidden="1" customWidth="1"/>
    <col min="36" max="36" width="19.42578125" style="16" hidden="1" customWidth="1"/>
    <col min="37" max="37" width="11" style="16" hidden="1" customWidth="1"/>
    <col min="38" max="38" width="23.5703125" style="16" hidden="1" customWidth="1"/>
    <col min="39" max="39" width="23.85546875" style="16" hidden="1" customWidth="1"/>
    <col min="40" max="40" width="25.28515625" style="16" hidden="1" customWidth="1"/>
    <col min="41" max="41" width="16.85546875" style="16" hidden="1" customWidth="1"/>
    <col min="42" max="42" width="29.5703125" style="16" hidden="1" customWidth="1"/>
    <col min="43" max="43" width="29.85546875" style="16" hidden="1" customWidth="1"/>
    <col min="44" max="44" width="9.140625" style="34" hidden="1"/>
  </cols>
  <sheetData>
    <row r="1" spans="1:44" ht="11.25" hidden="1" customHeight="1">
      <c r="AR1" s="34" t="s">
        <v>14</v>
      </c>
    </row>
    <row r="2" spans="1:44" ht="11.25" hidden="1" customHeight="1">
      <c r="AR2" s="34">
        <v>0</v>
      </c>
    </row>
    <row r="3" spans="1:44" ht="11.25" hidden="1" customHeight="1">
      <c r="AR3" s="34">
        <v>0</v>
      </c>
    </row>
    <row r="4" spans="1:44" ht="3" customHeight="1">
      <c r="AR4" s="34">
        <v>3</v>
      </c>
    </row>
    <row r="5" spans="1:44" s="41" customFormat="1" ht="30.4" customHeight="1">
      <c r="A5" s="67"/>
      <c r="B5" s="67"/>
      <c r="D5" s="119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197"/>
      <c r="F5" s="1197"/>
      <c r="G5" s="1197"/>
      <c r="H5" s="1197"/>
      <c r="I5" s="1197"/>
      <c r="J5" s="1198"/>
      <c r="K5" s="153"/>
      <c r="L5" s="57"/>
      <c r="M5" s="57"/>
      <c r="N5" s="57"/>
      <c r="O5" s="57"/>
      <c r="P5" s="57"/>
      <c r="Q5" s="57"/>
      <c r="R5" s="57"/>
      <c r="S5" s="57"/>
      <c r="T5" s="57"/>
      <c r="U5" s="57"/>
      <c r="V5" s="57"/>
      <c r="W5" s="57"/>
      <c r="Y5" s="727"/>
      <c r="Z5" s="727"/>
      <c r="AA5" s="727"/>
      <c r="AB5" s="727"/>
      <c r="AC5" s="727"/>
      <c r="AD5" s="727"/>
      <c r="AE5" s="727"/>
      <c r="AF5" s="727"/>
      <c r="AG5" s="727"/>
      <c r="AH5" s="727"/>
      <c r="AI5" s="727"/>
      <c r="AJ5" s="727"/>
      <c r="AK5" s="727"/>
      <c r="AL5" s="727"/>
      <c r="AM5" s="727"/>
      <c r="AN5" s="727"/>
      <c r="AO5" s="727"/>
      <c r="AP5" s="727"/>
      <c r="AQ5" s="727"/>
      <c r="AR5" s="41">
        <v>29</v>
      </c>
    </row>
    <row r="6" spans="1:44" s="41" customFormat="1" ht="14.65" customHeight="1">
      <c r="A6" s="16"/>
      <c r="B6" s="16"/>
      <c r="C6" s="16"/>
      <c r="D6" s="1202" t="str">
        <f>IF(org=0,"Не определено",org)</f>
        <v>Общество с ограниченной ответственностью "Березовский рудник"</v>
      </c>
      <c r="E6" s="1202"/>
      <c r="F6" s="1202"/>
      <c r="G6" s="1202"/>
      <c r="H6" s="1202"/>
      <c r="I6" s="1202"/>
      <c r="J6" s="1202"/>
      <c r="K6" s="340"/>
      <c r="L6" s="340"/>
      <c r="M6" s="340"/>
      <c r="N6" s="340"/>
      <c r="O6" s="67"/>
      <c r="P6" s="67"/>
      <c r="Q6" s="67"/>
      <c r="R6" s="67"/>
      <c r="S6" s="67"/>
      <c r="T6" s="67"/>
      <c r="U6" s="67"/>
      <c r="V6" s="67"/>
      <c r="W6" s="67"/>
      <c r="X6" s="340"/>
      <c r="Y6" s="727"/>
      <c r="Z6" s="727"/>
      <c r="AA6" s="727"/>
      <c r="AB6" s="727"/>
      <c r="AC6" s="727"/>
      <c r="AD6" s="727"/>
      <c r="AE6" s="727"/>
      <c r="AF6" s="727"/>
      <c r="AG6" s="727"/>
      <c r="AH6" s="727"/>
      <c r="AI6" s="727"/>
      <c r="AJ6" s="727"/>
      <c r="AK6" s="727"/>
      <c r="AL6" s="727"/>
      <c r="AM6" s="727"/>
      <c r="AN6" s="727"/>
      <c r="AO6" s="727"/>
      <c r="AP6" s="727"/>
      <c r="AQ6" s="727"/>
      <c r="AR6" s="41">
        <v>14</v>
      </c>
    </row>
    <row r="7" spans="1:44" s="159" customFormat="1" ht="11.45" customHeight="1">
      <c r="A7" s="66"/>
      <c r="B7" s="66"/>
      <c r="D7" s="1199"/>
      <c r="E7" s="1200"/>
      <c r="F7" s="1200"/>
      <c r="G7" s="1200"/>
      <c r="H7" s="1200"/>
      <c r="I7" s="1200"/>
      <c r="J7" s="1201"/>
      <c r="Y7" s="16"/>
      <c r="Z7" s="16"/>
      <c r="AA7" s="16"/>
      <c r="AB7" s="16"/>
      <c r="AC7" s="16"/>
      <c r="AD7" s="16"/>
      <c r="AE7" s="16"/>
      <c r="AF7" s="16"/>
      <c r="AG7" s="16"/>
      <c r="AH7" s="16"/>
      <c r="AI7" s="16"/>
      <c r="AJ7" s="16"/>
      <c r="AK7" s="16"/>
      <c r="AL7" s="16"/>
      <c r="AM7" s="16"/>
      <c r="AN7" s="16"/>
      <c r="AO7" s="16"/>
      <c r="AP7" s="16"/>
      <c r="AQ7" s="16"/>
      <c r="AR7" s="159">
        <v>11</v>
      </c>
    </row>
    <row r="8" spans="1:44" s="41" customFormat="1" ht="1.1499999999999999" customHeight="1">
      <c r="A8" s="67"/>
      <c r="B8" s="67"/>
      <c r="D8" s="113"/>
      <c r="E8" s="113"/>
      <c r="F8" s="113"/>
      <c r="G8" s="113"/>
      <c r="H8" s="113"/>
      <c r="I8" s="113"/>
      <c r="J8" s="113"/>
      <c r="K8" s="113"/>
      <c r="L8" s="113"/>
      <c r="M8" s="113"/>
      <c r="N8" s="113"/>
      <c r="O8" s="113"/>
      <c r="P8" s="113"/>
      <c r="Q8" s="113"/>
      <c r="R8" s="113"/>
      <c r="S8" s="113"/>
      <c r="T8" s="113"/>
      <c r="U8" s="113"/>
      <c r="V8" s="113"/>
      <c r="W8" s="113"/>
      <c r="Y8" s="727"/>
      <c r="Z8" s="727"/>
      <c r="AA8" s="727"/>
      <c r="AB8" s="727"/>
      <c r="AC8" s="727"/>
      <c r="AD8" s="727"/>
      <c r="AE8" s="727"/>
      <c r="AF8" s="727"/>
      <c r="AG8" s="727"/>
      <c r="AH8" s="727"/>
      <c r="AI8" s="727"/>
      <c r="AJ8" s="727"/>
      <c r="AK8" s="727"/>
      <c r="AL8" s="727"/>
      <c r="AM8" s="727"/>
      <c r="AN8" s="727"/>
      <c r="AO8" s="727"/>
      <c r="AP8" s="727"/>
      <c r="AQ8" s="727"/>
      <c r="AR8" s="41">
        <v>1</v>
      </c>
    </row>
    <row r="9" spans="1:44" ht="28.5" customHeight="1">
      <c r="D9" s="1146" t="s">
        <v>86</v>
      </c>
      <c r="E9" s="1128" t="s">
        <v>120</v>
      </c>
      <c r="F9" s="1127"/>
      <c r="G9" s="1146" t="s">
        <v>103</v>
      </c>
      <c r="H9" s="1146" t="s">
        <v>86</v>
      </c>
      <c r="I9" s="1146"/>
      <c r="J9" s="1146" t="s">
        <v>121</v>
      </c>
      <c r="K9" s="1203" t="s">
        <v>122</v>
      </c>
      <c r="L9" s="1203"/>
      <c r="M9" s="1203"/>
      <c r="N9" s="1203"/>
      <c r="O9" s="1203" t="s">
        <v>123</v>
      </c>
      <c r="P9" s="1203"/>
      <c r="Q9" s="1203"/>
      <c r="R9" s="1203"/>
      <c r="S9" s="1203" t="s">
        <v>124</v>
      </c>
      <c r="T9" s="1203"/>
      <c r="U9" s="1203"/>
      <c r="V9" s="1203"/>
      <c r="W9" s="1146" t="s">
        <v>125</v>
      </c>
      <c r="AR9" s="34">
        <v>27</v>
      </c>
    </row>
    <row r="10" spans="1:44" ht="31.5" customHeight="1">
      <c r="D10" s="1146"/>
      <c r="E10" s="40" t="s">
        <v>87</v>
      </c>
      <c r="F10" s="40" t="s">
        <v>126</v>
      </c>
      <c r="G10" s="1146"/>
      <c r="H10" s="1146"/>
      <c r="I10" s="1146"/>
      <c r="J10" s="1146"/>
      <c r="K10" s="40" t="s">
        <v>106</v>
      </c>
      <c r="L10" s="1146" t="s">
        <v>86</v>
      </c>
      <c r="M10" s="1146"/>
      <c r="N10" s="40" t="s">
        <v>127</v>
      </c>
      <c r="O10" s="40" t="s">
        <v>106</v>
      </c>
      <c r="P10" s="1146" t="s">
        <v>86</v>
      </c>
      <c r="Q10" s="1146"/>
      <c r="R10" s="40" t="s">
        <v>127</v>
      </c>
      <c r="S10" s="40" t="s">
        <v>106</v>
      </c>
      <c r="T10" s="1146" t="s">
        <v>86</v>
      </c>
      <c r="U10" s="1146"/>
      <c r="V10" s="40" t="s">
        <v>87</v>
      </c>
      <c r="W10" s="1146"/>
      <c r="Z10" s="16" t="s">
        <v>128</v>
      </c>
      <c r="AA10" s="16" t="s">
        <v>129</v>
      </c>
      <c r="AB10" s="16" t="s">
        <v>130</v>
      </c>
      <c r="AC10" s="16" t="s">
        <v>131</v>
      </c>
      <c r="AD10" s="16" t="s">
        <v>132</v>
      </c>
      <c r="AE10" s="16" t="s">
        <v>133</v>
      </c>
      <c r="AF10" s="16" t="s">
        <v>134</v>
      </c>
      <c r="AG10" s="16" t="s">
        <v>135</v>
      </c>
      <c r="AH10" s="16" t="s">
        <v>136</v>
      </c>
      <c r="AI10" s="16" t="s">
        <v>137</v>
      </c>
      <c r="AJ10" s="16" t="s">
        <v>138</v>
      </c>
      <c r="AK10" s="16" t="s">
        <v>139</v>
      </c>
      <c r="AL10" s="16" t="s">
        <v>140</v>
      </c>
      <c r="AM10" s="16" t="s">
        <v>141</v>
      </c>
      <c r="AN10" s="16" t="s">
        <v>142</v>
      </c>
      <c r="AO10" s="16" t="s">
        <v>143</v>
      </c>
      <c r="AP10" s="16" t="s">
        <v>144</v>
      </c>
      <c r="AQ10" s="16" t="s">
        <v>145</v>
      </c>
      <c r="AR10" s="34">
        <v>30</v>
      </c>
    </row>
    <row r="11" spans="1:44" s="66" customFormat="1" ht="12" hidden="1" customHeight="1">
      <c r="D11" s="721" t="s">
        <v>107</v>
      </c>
      <c r="E11" s="721" t="s">
        <v>108</v>
      </c>
      <c r="F11" s="721"/>
      <c r="G11" s="721" t="s">
        <v>88</v>
      </c>
      <c r="H11" s="1195" t="s">
        <v>109</v>
      </c>
      <c r="I11" s="1195"/>
      <c r="J11" s="721" t="s">
        <v>90</v>
      </c>
      <c r="K11" s="721" t="s">
        <v>91</v>
      </c>
      <c r="L11" s="1195" t="s">
        <v>110</v>
      </c>
      <c r="M11" s="1195"/>
      <c r="N11" s="721" t="s">
        <v>146</v>
      </c>
      <c r="O11" s="721" t="s">
        <v>147</v>
      </c>
      <c r="P11" s="1195" t="s">
        <v>148</v>
      </c>
      <c r="Q11" s="1195"/>
      <c r="R11" s="721" t="s">
        <v>149</v>
      </c>
      <c r="S11" s="721" t="s">
        <v>148</v>
      </c>
      <c r="T11" s="1195" t="s">
        <v>149</v>
      </c>
      <c r="U11" s="1195"/>
      <c r="V11" s="721" t="s">
        <v>150</v>
      </c>
      <c r="W11" s="721" t="s">
        <v>151</v>
      </c>
      <c r="Y11" s="16"/>
      <c r="Z11" s="16"/>
      <c r="AA11" s="16"/>
      <c r="AB11" s="16"/>
      <c r="AC11" s="16"/>
      <c r="AD11" s="16"/>
      <c r="AE11" s="16"/>
      <c r="AF11" s="16"/>
      <c r="AG11" s="16"/>
      <c r="AH11" s="16"/>
      <c r="AI11" s="16"/>
      <c r="AJ11" s="16"/>
      <c r="AK11" s="16"/>
      <c r="AL11" s="16"/>
      <c r="AM11" s="16"/>
      <c r="AN11" s="16"/>
      <c r="AO11" s="16"/>
      <c r="AP11" s="16"/>
      <c r="AQ11" s="16"/>
      <c r="AR11" s="66">
        <v>0</v>
      </c>
    </row>
    <row r="12" spans="1:44" ht="14.25" hidden="1" customHeight="1">
      <c r="C12" s="74"/>
      <c r="D12" s="461">
        <v>0</v>
      </c>
      <c r="E12" s="40"/>
      <c r="F12" s="40"/>
      <c r="G12" s="40"/>
      <c r="H12" s="144"/>
      <c r="I12" s="144"/>
      <c r="J12" s="42"/>
      <c r="K12" s="42"/>
      <c r="L12" s="42"/>
      <c r="M12" s="42"/>
      <c r="N12" s="145"/>
      <c r="O12" s="42"/>
      <c r="P12" s="42"/>
      <c r="Q12" s="42"/>
      <c r="R12" s="146"/>
      <c r="S12" s="42"/>
      <c r="T12" s="42"/>
      <c r="U12" s="42"/>
      <c r="V12" s="146"/>
      <c r="W12" s="42"/>
      <c r="AR12" s="34">
        <v>0</v>
      </c>
    </row>
    <row r="13" spans="1:44" s="34" customFormat="1" ht="17.25" hidden="1" customHeight="1">
      <c r="A13" s="185"/>
      <c r="C13" s="74"/>
      <c r="D13" s="1179">
        <v>1</v>
      </c>
      <c r="E13" s="1168" t="s">
        <v>152</v>
      </c>
      <c r="F13" s="1181" t="s">
        <v>19</v>
      </c>
      <c r="G13" s="1168"/>
      <c r="H13" s="1170"/>
      <c r="I13" s="1172"/>
      <c r="J13" s="1174"/>
      <c r="K13" s="1166"/>
      <c r="L13" s="1166"/>
      <c r="M13" s="1166"/>
      <c r="N13" s="1177"/>
      <c r="O13" s="1166"/>
      <c r="P13" s="1166"/>
      <c r="Q13" s="1166"/>
      <c r="R13" s="1164"/>
      <c r="S13" s="1166"/>
      <c r="T13" s="801"/>
      <c r="U13" s="801"/>
      <c r="V13" s="800"/>
      <c r="W13" s="743"/>
      <c r="Y13" s="728"/>
      <c r="Z13" s="728"/>
      <c r="AA13" s="728"/>
      <c r="AB13" s="728"/>
      <c r="AC13" s="728" t="s">
        <v>153</v>
      </c>
      <c r="AD13" s="728" t="s">
        <v>154</v>
      </c>
      <c r="AE13" s="728" t="s">
        <v>155</v>
      </c>
      <c r="AF13" s="728" t="s">
        <v>156</v>
      </c>
      <c r="AG13" s="728" t="s">
        <v>157</v>
      </c>
      <c r="AH13" s="72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28" t="str">
        <f>IF($G$13=0,"",$G$13)</f>
        <v/>
      </c>
      <c r="AJ13" s="728" t="str">
        <f>IF($J$13=0,"",$J$13)</f>
        <v/>
      </c>
      <c r="AK13" s="728" t="str">
        <f>IF($K$13="нет","без дифференциации",IF($N$13=0,"",$N$13))</f>
        <v/>
      </c>
      <c r="AL13" s="728" t="str">
        <f>IF($O$13="нет","без дифференциации",IF($R$13=0,"",$R$13))</f>
        <v/>
      </c>
      <c r="AM13" s="728" t="str">
        <f>IF($S$13="нет","без дифференциации",IF($V$13=0,"",$V$13))</f>
        <v/>
      </c>
      <c r="AN13" s="728">
        <f>$I$13</f>
        <v>0</v>
      </c>
      <c r="AO13" s="728" t="str">
        <f>$I$13&amp;"."&amp;$M$13</f>
        <v>.</v>
      </c>
      <c r="AP13" s="728" t="str">
        <f>$I$13&amp;"."&amp;$M$13&amp;"."&amp;$Q$13</f>
        <v>..</v>
      </c>
      <c r="AQ13" s="728" t="str">
        <f>$I$13&amp;"."&amp;$M$13&amp;"."&amp;$Q$13&amp;"."&amp;$U$13</f>
        <v>...</v>
      </c>
      <c r="AR13" s="34">
        <v>0</v>
      </c>
    </row>
    <row r="14" spans="1:44" s="34" customFormat="1" ht="17.25" hidden="1" customHeight="1">
      <c r="A14" s="185"/>
      <c r="D14" s="1179"/>
      <c r="E14" s="1168"/>
      <c r="F14" s="1182"/>
      <c r="G14" s="1168"/>
      <c r="H14" s="1171"/>
      <c r="I14" s="1173"/>
      <c r="J14" s="1175"/>
      <c r="K14" s="1167"/>
      <c r="L14" s="1167"/>
      <c r="M14" s="1167"/>
      <c r="N14" s="1178"/>
      <c r="O14" s="1167"/>
      <c r="P14" s="1167"/>
      <c r="Q14" s="1167"/>
      <c r="R14" s="1165"/>
      <c r="S14" s="1167"/>
      <c r="T14" s="744"/>
      <c r="U14" s="744"/>
      <c r="V14" s="744"/>
      <c r="W14" s="745"/>
      <c r="Y14" s="16"/>
      <c r="Z14" s="16"/>
      <c r="AA14" s="16"/>
      <c r="AB14" s="16"/>
      <c r="AC14" s="16"/>
      <c r="AD14" s="16"/>
      <c r="AE14" s="16"/>
      <c r="AF14" s="16"/>
      <c r="AG14" s="16"/>
      <c r="AH14" s="16"/>
      <c r="AI14" s="16"/>
      <c r="AJ14" s="16"/>
      <c r="AK14" s="16"/>
      <c r="AL14" s="16"/>
      <c r="AM14" s="16"/>
      <c r="AN14" s="16"/>
      <c r="AO14" s="16"/>
      <c r="AP14" s="16"/>
      <c r="AQ14" s="16"/>
      <c r="AR14" s="34">
        <v>0</v>
      </c>
    </row>
    <row r="15" spans="1:44" s="34" customFormat="1" ht="17.25" hidden="1" customHeight="1">
      <c r="A15" s="185"/>
      <c r="C15" s="74"/>
      <c r="D15" s="1179"/>
      <c r="E15" s="1168"/>
      <c r="F15" s="1182"/>
      <c r="G15" s="1168"/>
      <c r="H15" s="1171"/>
      <c r="I15" s="1173"/>
      <c r="J15" s="1176"/>
      <c r="K15" s="1167"/>
      <c r="L15" s="1167"/>
      <c r="M15" s="1167"/>
      <c r="N15" s="1165"/>
      <c r="O15" s="1167"/>
      <c r="P15" s="53"/>
      <c r="Q15" s="744"/>
      <c r="R15" s="744"/>
      <c r="W15" s="745"/>
      <c r="Y15" s="728"/>
      <c r="Z15" s="728"/>
      <c r="AA15" s="728"/>
      <c r="AB15" s="728"/>
      <c r="AC15" s="728"/>
      <c r="AD15" s="728"/>
      <c r="AE15" s="728"/>
      <c r="AF15" s="728"/>
      <c r="AG15" s="728"/>
      <c r="AH15" s="728"/>
      <c r="AI15" s="728"/>
      <c r="AJ15" s="728"/>
      <c r="AK15" s="728"/>
      <c r="AL15" s="728"/>
      <c r="AM15" s="728"/>
      <c r="AN15" s="728"/>
      <c r="AO15" s="728"/>
      <c r="AP15" s="728"/>
      <c r="AQ15" s="728"/>
      <c r="AR15" s="34">
        <v>0</v>
      </c>
    </row>
    <row r="16" spans="1:44" s="34" customFormat="1" ht="17.25" hidden="1" customHeight="1">
      <c r="A16" s="185"/>
      <c r="D16" s="1179"/>
      <c r="E16" s="1168"/>
      <c r="F16" s="1182"/>
      <c r="G16" s="1168"/>
      <c r="H16" s="1171"/>
      <c r="I16" s="1173"/>
      <c r="J16" s="1176"/>
      <c r="K16" s="1167"/>
      <c r="L16" s="744"/>
      <c r="M16" s="744"/>
      <c r="N16" s="744"/>
      <c r="O16" s="744"/>
      <c r="P16" s="744"/>
      <c r="Q16" s="744"/>
      <c r="R16" s="744"/>
      <c r="W16" s="745"/>
      <c r="Y16" s="16"/>
      <c r="Z16" s="16"/>
      <c r="AA16" s="16"/>
      <c r="AB16" s="16"/>
      <c r="AC16" s="16"/>
      <c r="AD16" s="16"/>
      <c r="AE16" s="16"/>
      <c r="AF16" s="16"/>
      <c r="AG16" s="16"/>
      <c r="AH16" s="16"/>
      <c r="AI16" s="16"/>
      <c r="AJ16" s="16"/>
      <c r="AK16" s="16"/>
      <c r="AL16" s="16"/>
      <c r="AM16" s="16"/>
      <c r="AN16" s="16"/>
      <c r="AO16" s="16"/>
      <c r="AP16" s="16"/>
      <c r="AQ16" s="16"/>
      <c r="AR16" s="34">
        <v>0</v>
      </c>
    </row>
    <row r="17" spans="1:44" s="34" customFormat="1" ht="17.25" hidden="1" customHeight="1">
      <c r="A17" s="185"/>
      <c r="D17" s="1180"/>
      <c r="E17" s="1169"/>
      <c r="F17" s="1183"/>
      <c r="G17" s="1169"/>
      <c r="H17" s="746"/>
      <c r="I17" s="747"/>
      <c r="J17" s="747"/>
      <c r="K17" s="747"/>
      <c r="L17" s="747"/>
      <c r="M17" s="747"/>
      <c r="N17" s="747"/>
      <c r="O17" s="747"/>
      <c r="P17" s="747"/>
      <c r="Q17" s="747"/>
      <c r="R17" s="747"/>
      <c r="S17" s="748"/>
      <c r="T17" s="748"/>
      <c r="U17" s="748"/>
      <c r="V17" s="748"/>
      <c r="W17" s="749"/>
      <c r="Y17" s="16"/>
      <c r="Z17" s="16"/>
      <c r="AA17" s="16"/>
      <c r="AB17" s="16"/>
      <c r="AC17" s="16"/>
      <c r="AD17" s="16"/>
      <c r="AE17" s="16"/>
      <c r="AF17" s="16"/>
      <c r="AG17" s="16"/>
      <c r="AH17" s="16"/>
      <c r="AI17" s="16"/>
      <c r="AJ17" s="16"/>
      <c r="AK17" s="16"/>
      <c r="AL17" s="16"/>
      <c r="AM17" s="16"/>
      <c r="AN17" s="16"/>
      <c r="AO17" s="16"/>
      <c r="AP17" s="16"/>
      <c r="AQ17" s="16"/>
      <c r="AR17" s="34">
        <v>0</v>
      </c>
    </row>
    <row r="18" spans="1:44" s="34" customFormat="1" ht="17.25" hidden="1" customHeight="1">
      <c r="A18" s="185"/>
      <c r="C18" s="74"/>
      <c r="D18" s="1179">
        <v>2</v>
      </c>
      <c r="E18" s="1193"/>
      <c r="F18" s="1181" t="s">
        <v>19</v>
      </c>
      <c r="G18" s="1168"/>
      <c r="H18" s="1170"/>
      <c r="I18" s="1172"/>
      <c r="J18" s="1174"/>
      <c r="K18" s="1166"/>
      <c r="L18" s="1166"/>
      <c r="M18" s="1166"/>
      <c r="N18" s="1177"/>
      <c r="O18" s="1166"/>
      <c r="P18" s="1166"/>
      <c r="Q18" s="1166"/>
      <c r="R18" s="1164"/>
      <c r="S18" s="1166"/>
      <c r="T18" s="801"/>
      <c r="U18" s="801"/>
      <c r="V18" s="800"/>
      <c r="W18" s="743"/>
      <c r="X18" s="728"/>
      <c r="Y18" s="728"/>
      <c r="Z18" s="728"/>
      <c r="AA18" s="728"/>
      <c r="AB18" s="728"/>
      <c r="AC18" s="728" t="s">
        <v>158</v>
      </c>
      <c r="AD18" s="728" t="s">
        <v>159</v>
      </c>
      <c r="AE18" s="728" t="s">
        <v>160</v>
      </c>
      <c r="AF18" s="728" t="s">
        <v>161</v>
      </c>
      <c r="AG18" s="728" t="s">
        <v>162</v>
      </c>
      <c r="AH18" s="728" t="str">
        <f>IF($E$18=0,"",$E$18)</f>
        <v/>
      </c>
      <c r="AI18" s="728" t="str">
        <f>IF($G$18=0,"",$G$18)</f>
        <v/>
      </c>
      <c r="AJ18" s="728" t="str">
        <f>IF($J$18=0,"",$J$18)</f>
        <v/>
      </c>
      <c r="AK18" s="728" t="str">
        <f>IF($K$18="нет","без дифференциации",IF($N$18=0,"",$N$18))</f>
        <v/>
      </c>
      <c r="AL18" s="728" t="str">
        <f>IF($O$18="нет","без дифференциации",IF($R$18=0,"",$R$18))</f>
        <v/>
      </c>
      <c r="AM18" s="728" t="str">
        <f>IF($S$18="нет","без дифференциации",IF($V$18=0,"",$V$18))</f>
        <v/>
      </c>
      <c r="AN18" s="972">
        <f>$I$18</f>
        <v>0</v>
      </c>
      <c r="AO18" s="728" t="str">
        <f>$I$18&amp;"."&amp;$M$18</f>
        <v>.</v>
      </c>
      <c r="AP18" s="16" t="str">
        <f>$I$18&amp;"."&amp;$M$18&amp;"."&amp;$Q$18</f>
        <v>..</v>
      </c>
      <c r="AQ18" s="16" t="str">
        <f>$I$18&amp;"."&amp;$M$18&amp;"."&amp;$Q$18&amp;"."&amp;$U$18</f>
        <v>...</v>
      </c>
      <c r="AR18" s="34">
        <v>0</v>
      </c>
    </row>
    <row r="19" spans="1:44" s="34" customFormat="1" ht="17.25" hidden="1" customHeight="1">
      <c r="A19" s="185"/>
      <c r="D19" s="1179"/>
      <c r="E19" s="1193"/>
      <c r="F19" s="1182"/>
      <c r="G19" s="1168"/>
      <c r="H19" s="1171"/>
      <c r="I19" s="1173"/>
      <c r="J19" s="1175"/>
      <c r="K19" s="1167"/>
      <c r="L19" s="1167"/>
      <c r="M19" s="1167"/>
      <c r="N19" s="1178"/>
      <c r="O19" s="1167"/>
      <c r="P19" s="1167"/>
      <c r="Q19" s="1167"/>
      <c r="R19" s="1165"/>
      <c r="S19" s="1167"/>
      <c r="T19" s="744"/>
      <c r="U19" s="744"/>
      <c r="V19" s="744"/>
      <c r="W19" s="745"/>
      <c r="X19" s="16"/>
      <c r="Y19" s="16"/>
      <c r="Z19" s="16"/>
      <c r="AA19" s="16"/>
      <c r="AB19" s="16"/>
      <c r="AC19" s="16"/>
      <c r="AD19" s="16"/>
      <c r="AE19" s="16"/>
      <c r="AF19" s="16"/>
      <c r="AG19" s="16"/>
      <c r="AH19" s="16"/>
      <c r="AI19" s="16"/>
      <c r="AJ19" s="16"/>
      <c r="AK19" s="16"/>
      <c r="AL19" s="16"/>
      <c r="AM19" s="16"/>
      <c r="AN19" s="16"/>
      <c r="AO19" s="16"/>
      <c r="AP19" s="16"/>
      <c r="AQ19" s="16"/>
      <c r="AR19" s="34">
        <v>0</v>
      </c>
    </row>
    <row r="20" spans="1:44" s="34" customFormat="1" ht="17.25" hidden="1" customHeight="1">
      <c r="A20" s="185"/>
      <c r="D20" s="1180"/>
      <c r="E20" s="1194"/>
      <c r="F20" s="1182"/>
      <c r="G20" s="1169"/>
      <c r="H20" s="1171"/>
      <c r="I20" s="1173"/>
      <c r="J20" s="1176"/>
      <c r="K20" s="1167"/>
      <c r="L20" s="1167"/>
      <c r="M20" s="1167"/>
      <c r="N20" s="1165"/>
      <c r="O20" s="1167"/>
      <c r="P20" s="53"/>
      <c r="Q20" s="744"/>
      <c r="R20" s="744"/>
      <c r="W20" s="745"/>
      <c r="X20" s="16"/>
      <c r="Y20" s="16"/>
      <c r="Z20" s="16"/>
      <c r="AA20" s="16"/>
      <c r="AB20" s="16"/>
      <c r="AC20" s="16"/>
      <c r="AD20" s="16"/>
      <c r="AE20" s="16"/>
      <c r="AF20" s="16"/>
      <c r="AG20" s="16"/>
      <c r="AH20" s="16"/>
      <c r="AI20" s="16"/>
      <c r="AJ20" s="16"/>
      <c r="AK20" s="16"/>
      <c r="AL20" s="16"/>
      <c r="AM20" s="16"/>
      <c r="AN20" s="16"/>
      <c r="AO20" s="16"/>
      <c r="AP20" s="16"/>
      <c r="AQ20" s="16"/>
      <c r="AR20" s="34">
        <v>0</v>
      </c>
    </row>
    <row r="21" spans="1:44" s="34" customFormat="1" ht="17.25" hidden="1" customHeight="1">
      <c r="A21" s="185"/>
      <c r="D21" s="1180"/>
      <c r="E21" s="1194"/>
      <c r="F21" s="1182"/>
      <c r="G21" s="1169"/>
      <c r="H21" s="1171"/>
      <c r="I21" s="1173"/>
      <c r="J21" s="1176"/>
      <c r="K21" s="1167"/>
      <c r="L21" s="744"/>
      <c r="M21" s="744"/>
      <c r="N21" s="744"/>
      <c r="O21" s="744"/>
      <c r="P21" s="744"/>
      <c r="Q21" s="744"/>
      <c r="R21" s="744"/>
      <c r="W21" s="745"/>
      <c r="X21" s="16"/>
      <c r="Y21" s="16"/>
      <c r="Z21" s="16"/>
      <c r="AA21" s="16"/>
      <c r="AB21" s="16"/>
      <c r="AC21" s="16"/>
      <c r="AD21" s="16"/>
      <c r="AE21" s="16"/>
      <c r="AF21" s="16"/>
      <c r="AG21" s="16"/>
      <c r="AH21" s="16"/>
      <c r="AI21" s="16"/>
      <c r="AJ21" s="16"/>
      <c r="AK21" s="16"/>
      <c r="AL21" s="16"/>
      <c r="AM21" s="16"/>
      <c r="AN21" s="16"/>
      <c r="AO21" s="16"/>
      <c r="AP21" s="16"/>
      <c r="AQ21" s="16"/>
      <c r="AR21" s="34">
        <v>0</v>
      </c>
    </row>
    <row r="22" spans="1:44" s="34" customFormat="1" ht="17.25" hidden="1" customHeight="1">
      <c r="A22" s="185"/>
      <c r="D22" s="1180"/>
      <c r="E22" s="1194"/>
      <c r="F22" s="1183"/>
      <c r="G22" s="1169"/>
      <c r="H22" s="746"/>
      <c r="I22" s="747"/>
      <c r="J22" s="747"/>
      <c r="K22" s="747"/>
      <c r="L22" s="747"/>
      <c r="M22" s="747"/>
      <c r="N22" s="747"/>
      <c r="O22" s="747"/>
      <c r="P22" s="747"/>
      <c r="Q22" s="747"/>
      <c r="R22" s="747"/>
      <c r="S22" s="748"/>
      <c r="T22" s="748"/>
      <c r="U22" s="748"/>
      <c r="V22" s="748"/>
      <c r="W22" s="749"/>
      <c r="X22" s="16"/>
      <c r="Y22" s="16"/>
      <c r="Z22" s="16"/>
      <c r="AA22" s="16"/>
      <c r="AB22" s="16"/>
      <c r="AC22" s="16"/>
      <c r="AD22" s="16"/>
      <c r="AE22" s="16"/>
      <c r="AF22" s="16"/>
      <c r="AG22" s="16"/>
      <c r="AH22" s="16"/>
      <c r="AI22" s="16"/>
      <c r="AJ22" s="16"/>
      <c r="AK22" s="16"/>
      <c r="AL22" s="16"/>
      <c r="AM22" s="16"/>
      <c r="AN22" s="16"/>
      <c r="AO22" s="16"/>
      <c r="AP22" s="16"/>
      <c r="AQ22" s="16"/>
      <c r="AR22" s="34">
        <v>0</v>
      </c>
    </row>
    <row r="23" spans="1:44" s="34" customFormat="1" ht="17.25" hidden="1" customHeight="1">
      <c r="A23" s="185"/>
      <c r="C23" s="74"/>
      <c r="D23" s="1179">
        <v>2</v>
      </c>
      <c r="E23" s="1168" t="s">
        <v>163</v>
      </c>
      <c r="F23" s="1181" t="s">
        <v>19</v>
      </c>
      <c r="G23" s="1168"/>
      <c r="H23" s="1170"/>
      <c r="I23" s="1172"/>
      <c r="J23" s="1174"/>
      <c r="K23" s="1166"/>
      <c r="L23" s="1166"/>
      <c r="M23" s="1166"/>
      <c r="N23" s="1177"/>
      <c r="O23" s="1166"/>
      <c r="P23" s="1166"/>
      <c r="Q23" s="1166"/>
      <c r="R23" s="1164"/>
      <c r="S23" s="1166"/>
      <c r="T23" s="801"/>
      <c r="U23" s="801"/>
      <c r="V23" s="800"/>
      <c r="W23" s="743"/>
      <c r="X23" s="728"/>
      <c r="Y23" s="728"/>
      <c r="Z23" s="728"/>
      <c r="AA23" s="728"/>
      <c r="AB23" s="728"/>
      <c r="AC23" s="728" t="s">
        <v>158</v>
      </c>
      <c r="AD23" s="728" t="s">
        <v>159</v>
      </c>
      <c r="AE23" s="728" t="s">
        <v>160</v>
      </c>
      <c r="AF23" s="728" t="s">
        <v>161</v>
      </c>
      <c r="AG23" s="728" t="s">
        <v>162</v>
      </c>
      <c r="AH23" s="728" t="str">
        <f>IF($E$23=0,"",$E$23)</f>
        <v>Тарифы на тепловую энергию (мощность), поставляемую теплоснабжающими организациями потребителям, другим теплоснабжающим организациям</v>
      </c>
      <c r="AI23" s="728" t="str">
        <f>IF($G$23=0,"",$G$23)</f>
        <v/>
      </c>
      <c r="AJ23" s="728" t="str">
        <f>IF($J$23=0,"",$J$23)</f>
        <v/>
      </c>
      <c r="AK23" s="728" t="str">
        <f>IF($K$23="нет","без дифференциации",IF($N$23=0,"",$N$23))</f>
        <v/>
      </c>
      <c r="AL23" s="728" t="str">
        <f>IF($O$23="нет","без дифференциации",IF($R$23=0,"",$R$23))</f>
        <v/>
      </c>
      <c r="AM23" s="728" t="str">
        <f>IF($S$23="нет","без дифференциации",IF($V$23=0,"",$V$23))</f>
        <v/>
      </c>
      <c r="AN23" s="972">
        <f>$I$23</f>
        <v>0</v>
      </c>
      <c r="AO23" s="728" t="str">
        <f>$I$23&amp;"."&amp;$M$23</f>
        <v>.</v>
      </c>
      <c r="AP23" s="16" t="str">
        <f>$I$23&amp;"."&amp;$M$23&amp;"."&amp;$Q$23</f>
        <v>..</v>
      </c>
      <c r="AQ23" s="16" t="str">
        <f>$I$23&amp;"."&amp;$M$23&amp;"."&amp;$Q$23&amp;"."&amp;$U$23</f>
        <v>...</v>
      </c>
      <c r="AR23" s="34">
        <v>0</v>
      </c>
    </row>
    <row r="24" spans="1:44" s="34" customFormat="1" ht="17.25" hidden="1" customHeight="1">
      <c r="A24" s="185"/>
      <c r="D24" s="1179"/>
      <c r="E24" s="1168"/>
      <c r="F24" s="1182"/>
      <c r="G24" s="1168"/>
      <c r="H24" s="1171"/>
      <c r="I24" s="1173"/>
      <c r="J24" s="1175"/>
      <c r="K24" s="1167"/>
      <c r="L24" s="1167"/>
      <c r="M24" s="1167"/>
      <c r="N24" s="1178"/>
      <c r="O24" s="1167"/>
      <c r="P24" s="1167"/>
      <c r="Q24" s="1167"/>
      <c r="R24" s="1165"/>
      <c r="S24" s="1167"/>
      <c r="T24" s="744"/>
      <c r="U24" s="744"/>
      <c r="V24" s="744"/>
      <c r="W24" s="745"/>
      <c r="X24" s="16"/>
      <c r="Y24" s="16"/>
      <c r="Z24" s="16"/>
      <c r="AA24" s="16"/>
      <c r="AB24" s="16"/>
      <c r="AC24" s="16"/>
      <c r="AD24" s="16"/>
      <c r="AE24" s="16"/>
      <c r="AF24" s="16"/>
      <c r="AG24" s="16"/>
      <c r="AH24" s="16"/>
      <c r="AI24" s="16"/>
      <c r="AJ24" s="16"/>
      <c r="AK24" s="16"/>
      <c r="AL24" s="16"/>
      <c r="AM24" s="16"/>
      <c r="AN24" s="16"/>
      <c r="AO24" s="16"/>
      <c r="AP24" s="16"/>
      <c r="AQ24" s="16"/>
      <c r="AR24" s="34">
        <v>0</v>
      </c>
    </row>
    <row r="25" spans="1:44" s="34" customFormat="1" ht="17.25" hidden="1" customHeight="1">
      <c r="A25" s="185"/>
      <c r="D25" s="1180"/>
      <c r="E25" s="1169"/>
      <c r="F25" s="1182"/>
      <c r="G25" s="1169"/>
      <c r="H25" s="1171"/>
      <c r="I25" s="1173"/>
      <c r="J25" s="1176"/>
      <c r="K25" s="1167"/>
      <c r="L25" s="1167"/>
      <c r="M25" s="1167"/>
      <c r="N25" s="1165"/>
      <c r="O25" s="1167"/>
      <c r="P25" s="53"/>
      <c r="Q25" s="744"/>
      <c r="R25" s="744"/>
      <c r="W25" s="745"/>
      <c r="X25" s="16"/>
      <c r="Y25" s="16"/>
      <c r="Z25" s="16"/>
      <c r="AA25" s="16"/>
      <c r="AB25" s="16"/>
      <c r="AC25" s="16"/>
      <c r="AD25" s="16"/>
      <c r="AE25" s="16"/>
      <c r="AF25" s="16"/>
      <c r="AG25" s="16"/>
      <c r="AH25" s="16"/>
      <c r="AI25" s="16"/>
      <c r="AJ25" s="16"/>
      <c r="AK25" s="16"/>
      <c r="AL25" s="16"/>
      <c r="AM25" s="16"/>
      <c r="AN25" s="16"/>
      <c r="AO25" s="16"/>
      <c r="AP25" s="16"/>
      <c r="AQ25" s="16"/>
      <c r="AR25" s="34">
        <v>0</v>
      </c>
    </row>
    <row r="26" spans="1:44" s="34" customFormat="1" ht="17.25" hidden="1" customHeight="1">
      <c r="A26" s="185"/>
      <c r="D26" s="1180"/>
      <c r="E26" s="1169"/>
      <c r="F26" s="1182"/>
      <c r="G26" s="1169"/>
      <c r="H26" s="1171"/>
      <c r="I26" s="1173"/>
      <c r="J26" s="1176"/>
      <c r="K26" s="1167"/>
      <c r="L26" s="744"/>
      <c r="M26" s="744"/>
      <c r="N26" s="744"/>
      <c r="O26" s="744"/>
      <c r="P26" s="744"/>
      <c r="Q26" s="744"/>
      <c r="R26" s="744"/>
      <c r="W26" s="745"/>
      <c r="X26" s="16"/>
      <c r="Y26" s="16"/>
      <c r="Z26" s="16"/>
      <c r="AA26" s="16"/>
      <c r="AB26" s="16"/>
      <c r="AC26" s="16"/>
      <c r="AD26" s="16"/>
      <c r="AE26" s="16"/>
      <c r="AF26" s="16"/>
      <c r="AG26" s="16"/>
      <c r="AH26" s="16"/>
      <c r="AI26" s="16"/>
      <c r="AJ26" s="16"/>
      <c r="AK26" s="16"/>
      <c r="AL26" s="16"/>
      <c r="AM26" s="16"/>
      <c r="AN26" s="16"/>
      <c r="AO26" s="16"/>
      <c r="AP26" s="16"/>
      <c r="AQ26" s="16"/>
      <c r="AR26" s="34">
        <v>0</v>
      </c>
    </row>
    <row r="27" spans="1:44" s="34" customFormat="1" ht="17.25" hidden="1" customHeight="1">
      <c r="A27" s="185"/>
      <c r="D27" s="1180"/>
      <c r="E27" s="1169"/>
      <c r="F27" s="1183"/>
      <c r="G27" s="1169"/>
      <c r="H27" s="746"/>
      <c r="I27" s="747"/>
      <c r="J27" s="747"/>
      <c r="K27" s="747"/>
      <c r="L27" s="747"/>
      <c r="M27" s="747"/>
      <c r="N27" s="747"/>
      <c r="O27" s="747"/>
      <c r="P27" s="747"/>
      <c r="Q27" s="747"/>
      <c r="R27" s="747"/>
      <c r="S27" s="748"/>
      <c r="T27" s="748"/>
      <c r="U27" s="748"/>
      <c r="V27" s="748"/>
      <c r="W27" s="749"/>
      <c r="X27" s="16"/>
      <c r="Y27" s="16"/>
      <c r="Z27" s="16"/>
      <c r="AA27" s="16"/>
      <c r="AB27" s="16"/>
      <c r="AC27" s="16"/>
      <c r="AD27" s="16"/>
      <c r="AE27" s="16"/>
      <c r="AF27" s="16"/>
      <c r="AG27" s="16"/>
      <c r="AH27" s="16"/>
      <c r="AI27" s="16"/>
      <c r="AJ27" s="16"/>
      <c r="AK27" s="16"/>
      <c r="AL27" s="16"/>
      <c r="AM27" s="16"/>
      <c r="AN27" s="16"/>
      <c r="AO27" s="16"/>
      <c r="AP27" s="16"/>
      <c r="AQ27" s="16"/>
      <c r="AR27" s="34">
        <v>0</v>
      </c>
    </row>
    <row r="28" spans="1:44" s="34" customFormat="1" ht="17.25" hidden="1" customHeight="1">
      <c r="A28" s="185"/>
      <c r="C28" s="74"/>
      <c r="D28" s="1179">
        <v>3</v>
      </c>
      <c r="E28" s="1168" t="s">
        <v>164</v>
      </c>
      <c r="F28" s="1181" t="s">
        <v>19</v>
      </c>
      <c r="G28" s="1168"/>
      <c r="H28" s="1170"/>
      <c r="I28" s="1172"/>
      <c r="J28" s="1174"/>
      <c r="K28" s="1166"/>
      <c r="L28" s="1166"/>
      <c r="M28" s="1166"/>
      <c r="N28" s="1177"/>
      <c r="O28" s="1166"/>
      <c r="P28" s="1166"/>
      <c r="Q28" s="1166"/>
      <c r="R28" s="1164"/>
      <c r="S28" s="1166"/>
      <c r="T28" s="801"/>
      <c r="U28" s="801"/>
      <c r="V28" s="800"/>
      <c r="W28" s="743"/>
      <c r="X28" s="728"/>
      <c r="Y28" s="728"/>
      <c r="Z28" s="728"/>
      <c r="AA28" s="728"/>
      <c r="AB28" s="728"/>
      <c r="AC28" s="728" t="s">
        <v>165</v>
      </c>
      <c r="AD28" s="728" t="s">
        <v>166</v>
      </c>
      <c r="AE28" s="728" t="s">
        <v>167</v>
      </c>
      <c r="AF28" s="728" t="s">
        <v>168</v>
      </c>
      <c r="AG28" s="728" t="s">
        <v>169</v>
      </c>
      <c r="AH28" s="728" t="str">
        <f>IF($E$28=0,"",$E$28)</f>
        <v>Тарифы на теплоноситель, поставляемый теплоснабжающими организациями потребителям, другим теплоснабжающим организациям</v>
      </c>
      <c r="AI28" s="728" t="str">
        <f>IF($G$28=0,"",$G$28)</f>
        <v/>
      </c>
      <c r="AJ28" s="728" t="str">
        <f>IF($J$28=0,"",$J$28)</f>
        <v/>
      </c>
      <c r="AK28" s="728" t="str">
        <f>IF($K$28="нет","без дифференциации",IF($N$28=0,"",$N$28))</f>
        <v/>
      </c>
      <c r="AL28" s="728" t="str">
        <f>IF($O$28="нет","без дифференциации",IF($R$28=0,"",$R$28))</f>
        <v/>
      </c>
      <c r="AM28" s="728" t="str">
        <f>IF($S$28="нет","без дифференциации",IF($V$28=0,"",$V$28))</f>
        <v/>
      </c>
      <c r="AN28" s="972">
        <f>$I$28</f>
        <v>0</v>
      </c>
      <c r="AO28" s="728" t="str">
        <f>$I$28&amp;"."&amp;$M$28</f>
        <v>.</v>
      </c>
      <c r="AP28" s="16" t="str">
        <f>$I$28&amp;"."&amp;$M$28&amp;"."&amp;$Q$28</f>
        <v>..</v>
      </c>
      <c r="AQ28" s="16" t="str">
        <f>$I$28&amp;"."&amp;$M$28&amp;"."&amp;$Q$28&amp;"."&amp;$U$28</f>
        <v>...</v>
      </c>
      <c r="AR28" s="34">
        <v>0</v>
      </c>
    </row>
    <row r="29" spans="1:44" s="34" customFormat="1" ht="17.25" hidden="1" customHeight="1">
      <c r="A29" s="185"/>
      <c r="D29" s="1179"/>
      <c r="E29" s="1168"/>
      <c r="F29" s="1182"/>
      <c r="G29" s="1168"/>
      <c r="H29" s="1171"/>
      <c r="I29" s="1173"/>
      <c r="J29" s="1175"/>
      <c r="K29" s="1167"/>
      <c r="L29" s="1167"/>
      <c r="M29" s="1167"/>
      <c r="N29" s="1178"/>
      <c r="O29" s="1167"/>
      <c r="P29" s="1167"/>
      <c r="Q29" s="1167"/>
      <c r="R29" s="1165"/>
      <c r="S29" s="1167"/>
      <c r="T29" s="744"/>
      <c r="U29" s="744"/>
      <c r="V29" s="744"/>
      <c r="W29" s="745"/>
      <c r="X29" s="16"/>
      <c r="Y29" s="16"/>
      <c r="Z29" s="16"/>
      <c r="AA29" s="16"/>
      <c r="AB29" s="16"/>
      <c r="AC29" s="16"/>
      <c r="AD29" s="16"/>
      <c r="AE29" s="16"/>
      <c r="AF29" s="16"/>
      <c r="AG29" s="16"/>
      <c r="AH29" s="16"/>
      <c r="AI29" s="16"/>
      <c r="AJ29" s="16"/>
      <c r="AK29" s="16"/>
      <c r="AL29" s="16"/>
      <c r="AM29" s="16"/>
      <c r="AN29" s="16"/>
      <c r="AO29" s="16"/>
      <c r="AP29" s="16"/>
      <c r="AQ29" s="16"/>
      <c r="AR29" s="34">
        <v>0</v>
      </c>
    </row>
    <row r="30" spans="1:44" s="34" customFormat="1" ht="17.25" hidden="1" customHeight="1">
      <c r="A30" s="185"/>
      <c r="D30" s="1180"/>
      <c r="E30" s="1169"/>
      <c r="F30" s="1182"/>
      <c r="G30" s="1169"/>
      <c r="H30" s="1171"/>
      <c r="I30" s="1173"/>
      <c r="J30" s="1176"/>
      <c r="K30" s="1167"/>
      <c r="L30" s="1167"/>
      <c r="M30" s="1167"/>
      <c r="N30" s="1165"/>
      <c r="O30" s="1167"/>
      <c r="P30" s="53"/>
      <c r="Q30" s="744"/>
      <c r="R30" s="744"/>
      <c r="W30" s="745"/>
      <c r="X30" s="16"/>
      <c r="Y30" s="16"/>
      <c r="Z30" s="16"/>
      <c r="AA30" s="16"/>
      <c r="AB30" s="16"/>
      <c r="AC30" s="16"/>
      <c r="AD30" s="16"/>
      <c r="AE30" s="16"/>
      <c r="AF30" s="16"/>
      <c r="AG30" s="16"/>
      <c r="AH30" s="16"/>
      <c r="AI30" s="16"/>
      <c r="AJ30" s="16"/>
      <c r="AK30" s="16"/>
      <c r="AL30" s="16"/>
      <c r="AM30" s="16"/>
      <c r="AN30" s="16"/>
      <c r="AO30" s="16"/>
      <c r="AP30" s="16"/>
      <c r="AQ30" s="16"/>
      <c r="AR30" s="34">
        <v>0</v>
      </c>
    </row>
    <row r="31" spans="1:44" s="34" customFormat="1" ht="17.25" hidden="1" customHeight="1">
      <c r="A31" s="185"/>
      <c r="D31" s="1180"/>
      <c r="E31" s="1169"/>
      <c r="F31" s="1182"/>
      <c r="G31" s="1169"/>
      <c r="H31" s="1171"/>
      <c r="I31" s="1173"/>
      <c r="J31" s="1176"/>
      <c r="K31" s="1167"/>
      <c r="L31" s="744"/>
      <c r="M31" s="744"/>
      <c r="N31" s="744"/>
      <c r="O31" s="744"/>
      <c r="P31" s="744"/>
      <c r="Q31" s="744"/>
      <c r="R31" s="744"/>
      <c r="W31" s="745"/>
      <c r="X31" s="16"/>
      <c r="Y31" s="16"/>
      <c r="Z31" s="16"/>
      <c r="AA31" s="16"/>
      <c r="AB31" s="16"/>
      <c r="AC31" s="16"/>
      <c r="AD31" s="16"/>
      <c r="AE31" s="16"/>
      <c r="AF31" s="16"/>
      <c r="AG31" s="16"/>
      <c r="AH31" s="16"/>
      <c r="AI31" s="16"/>
      <c r="AJ31" s="16"/>
      <c r="AK31" s="16"/>
      <c r="AL31" s="16"/>
      <c r="AM31" s="16"/>
      <c r="AN31" s="16"/>
      <c r="AO31" s="16"/>
      <c r="AP31" s="16"/>
      <c r="AQ31" s="16"/>
      <c r="AR31" s="34">
        <v>0</v>
      </c>
    </row>
    <row r="32" spans="1:44" s="34" customFormat="1" ht="17.25" hidden="1" customHeight="1">
      <c r="A32" s="185"/>
      <c r="D32" s="1180"/>
      <c r="E32" s="1169"/>
      <c r="F32" s="1183"/>
      <c r="G32" s="1169"/>
      <c r="H32" s="746"/>
      <c r="I32" s="747"/>
      <c r="J32" s="747"/>
      <c r="K32" s="747"/>
      <c r="L32" s="747"/>
      <c r="M32" s="747"/>
      <c r="N32" s="747"/>
      <c r="O32" s="747"/>
      <c r="P32" s="747"/>
      <c r="Q32" s="747"/>
      <c r="R32" s="747"/>
      <c r="S32" s="748"/>
      <c r="T32" s="748"/>
      <c r="U32" s="748"/>
      <c r="V32" s="748"/>
      <c r="W32" s="749"/>
      <c r="X32" s="16"/>
      <c r="Y32" s="16"/>
      <c r="Z32" s="16"/>
      <c r="AA32" s="16"/>
      <c r="AB32" s="16"/>
      <c r="AC32" s="16"/>
      <c r="AD32" s="16"/>
      <c r="AE32" s="16"/>
      <c r="AF32" s="16"/>
      <c r="AG32" s="16"/>
      <c r="AH32" s="16"/>
      <c r="AI32" s="16"/>
      <c r="AJ32" s="16"/>
      <c r="AK32" s="16"/>
      <c r="AL32" s="16"/>
      <c r="AM32" s="16"/>
      <c r="AN32" s="16"/>
      <c r="AO32" s="16"/>
      <c r="AP32" s="16"/>
      <c r="AQ32" s="16"/>
      <c r="AR32" s="34">
        <v>0</v>
      </c>
    </row>
    <row r="33" spans="1:44" s="34" customFormat="1" ht="17.25" hidden="1" customHeight="1">
      <c r="A33" s="185"/>
      <c r="C33" s="74"/>
      <c r="D33" s="1179">
        <v>4</v>
      </c>
      <c r="E33" s="1168" t="s">
        <v>170</v>
      </c>
      <c r="F33" s="1181" t="s">
        <v>19</v>
      </c>
      <c r="G33" s="1168"/>
      <c r="H33" s="1170"/>
      <c r="I33" s="1172"/>
      <c r="J33" s="1174"/>
      <c r="K33" s="1166"/>
      <c r="L33" s="1166"/>
      <c r="M33" s="1166"/>
      <c r="N33" s="1177"/>
      <c r="O33" s="1166"/>
      <c r="P33" s="1166"/>
      <c r="Q33" s="1166"/>
      <c r="R33" s="1164"/>
      <c r="S33" s="1166"/>
      <c r="T33" s="801"/>
      <c r="U33" s="801"/>
      <c r="V33" s="800"/>
      <c r="W33" s="743"/>
      <c r="X33" s="728"/>
      <c r="Y33" s="728"/>
      <c r="Z33" s="728"/>
      <c r="AA33" s="728"/>
      <c r="AB33" s="728"/>
      <c r="AC33" s="728" t="s">
        <v>171</v>
      </c>
      <c r="AD33" s="728" t="s">
        <v>172</v>
      </c>
      <c r="AE33" s="728" t="s">
        <v>173</v>
      </c>
      <c r="AF33" s="728" t="s">
        <v>174</v>
      </c>
      <c r="AG33" s="728" t="s">
        <v>175</v>
      </c>
      <c r="AH33" s="728"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28" t="str">
        <f>IF($G$33=0,"",$G$33)</f>
        <v/>
      </c>
      <c r="AJ33" s="728" t="str">
        <f>IF($J$33=0,"",$J$33)</f>
        <v/>
      </c>
      <c r="AK33" s="728" t="str">
        <f>IF($K$33="нет","без дифференциации",IF($N$33=0,"",$N$33))</f>
        <v/>
      </c>
      <c r="AL33" s="728" t="str">
        <f>IF($O$33="нет","без дифференциации",IF($R$33=0,"",$R$33))</f>
        <v/>
      </c>
      <c r="AM33" s="728" t="str">
        <f>IF($S$33="нет","без дифференциации",IF($V$33=0,"",$V$33))</f>
        <v/>
      </c>
      <c r="AN33" s="972">
        <f>$I$33</f>
        <v>0</v>
      </c>
      <c r="AO33" s="728" t="str">
        <f>$I$33&amp;"."&amp;$M$33</f>
        <v>.</v>
      </c>
      <c r="AP33" s="16" t="str">
        <f>$I$33&amp;"."&amp;$M$33&amp;"."&amp;$Q$33</f>
        <v>..</v>
      </c>
      <c r="AQ33" s="16" t="str">
        <f>$I$33&amp;"."&amp;$M$33&amp;"."&amp;$Q$33&amp;"."&amp;$U$33</f>
        <v>...</v>
      </c>
      <c r="AR33" s="34">
        <v>0</v>
      </c>
    </row>
    <row r="34" spans="1:44" s="34" customFormat="1" ht="17.25" hidden="1" customHeight="1">
      <c r="A34" s="185"/>
      <c r="D34" s="1179"/>
      <c r="E34" s="1168"/>
      <c r="F34" s="1182"/>
      <c r="G34" s="1168"/>
      <c r="H34" s="1171"/>
      <c r="I34" s="1173"/>
      <c r="J34" s="1175"/>
      <c r="K34" s="1167"/>
      <c r="L34" s="1167"/>
      <c r="M34" s="1167"/>
      <c r="N34" s="1178"/>
      <c r="O34" s="1167"/>
      <c r="P34" s="1167"/>
      <c r="Q34" s="1167"/>
      <c r="R34" s="1165"/>
      <c r="S34" s="1167"/>
      <c r="T34" s="744"/>
      <c r="U34" s="744"/>
      <c r="V34" s="744"/>
      <c r="W34" s="745"/>
      <c r="X34" s="16"/>
      <c r="Y34" s="16"/>
      <c r="Z34" s="16"/>
      <c r="AA34" s="16"/>
      <c r="AB34" s="16"/>
      <c r="AC34" s="16"/>
      <c r="AD34" s="16"/>
      <c r="AE34" s="16"/>
      <c r="AF34" s="16"/>
      <c r="AG34" s="16"/>
      <c r="AH34" s="16"/>
      <c r="AI34" s="16"/>
      <c r="AJ34" s="16"/>
      <c r="AK34" s="16"/>
      <c r="AL34" s="16"/>
      <c r="AM34" s="16"/>
      <c r="AN34" s="16"/>
      <c r="AO34" s="16"/>
      <c r="AP34" s="16"/>
      <c r="AQ34" s="16"/>
      <c r="AR34" s="34">
        <v>0</v>
      </c>
    </row>
    <row r="35" spans="1:44" s="34" customFormat="1" ht="17.25" hidden="1" customHeight="1">
      <c r="A35" s="185"/>
      <c r="D35" s="1180"/>
      <c r="E35" s="1169"/>
      <c r="F35" s="1182"/>
      <c r="G35" s="1169"/>
      <c r="H35" s="1171"/>
      <c r="I35" s="1173"/>
      <c r="J35" s="1176"/>
      <c r="K35" s="1167"/>
      <c r="L35" s="1167"/>
      <c r="M35" s="1167"/>
      <c r="N35" s="1165"/>
      <c r="O35" s="1167"/>
      <c r="P35" s="53"/>
      <c r="Q35" s="744"/>
      <c r="R35" s="744"/>
      <c r="W35" s="745"/>
      <c r="X35" s="16"/>
      <c r="Y35" s="16"/>
      <c r="Z35" s="16"/>
      <c r="AA35" s="16"/>
      <c r="AB35" s="16"/>
      <c r="AC35" s="16"/>
      <c r="AD35" s="16"/>
      <c r="AE35" s="16"/>
      <c r="AF35" s="16"/>
      <c r="AG35" s="16"/>
      <c r="AH35" s="16"/>
      <c r="AI35" s="16"/>
      <c r="AJ35" s="16"/>
      <c r="AK35" s="16"/>
      <c r="AL35" s="16"/>
      <c r="AM35" s="16"/>
      <c r="AN35" s="16"/>
      <c r="AO35" s="16"/>
      <c r="AP35" s="16"/>
      <c r="AQ35" s="16"/>
      <c r="AR35" s="34">
        <v>0</v>
      </c>
    </row>
    <row r="36" spans="1:44" s="34" customFormat="1" ht="17.25" hidden="1" customHeight="1">
      <c r="A36" s="185"/>
      <c r="D36" s="1180"/>
      <c r="E36" s="1169"/>
      <c r="F36" s="1182"/>
      <c r="G36" s="1169"/>
      <c r="H36" s="1171"/>
      <c r="I36" s="1173"/>
      <c r="J36" s="1176"/>
      <c r="K36" s="1167"/>
      <c r="L36" s="744"/>
      <c r="M36" s="744"/>
      <c r="N36" s="744"/>
      <c r="O36" s="744"/>
      <c r="P36" s="744"/>
      <c r="Q36" s="744"/>
      <c r="R36" s="744"/>
      <c r="W36" s="745"/>
      <c r="X36" s="16"/>
      <c r="Y36" s="16"/>
      <c r="Z36" s="16"/>
      <c r="AA36" s="16"/>
      <c r="AB36" s="16"/>
      <c r="AC36" s="16"/>
      <c r="AD36" s="16"/>
      <c r="AE36" s="16"/>
      <c r="AF36" s="16"/>
      <c r="AG36" s="16"/>
      <c r="AH36" s="16"/>
      <c r="AI36" s="16"/>
      <c r="AJ36" s="16"/>
      <c r="AK36" s="16"/>
      <c r="AL36" s="16"/>
      <c r="AM36" s="16"/>
      <c r="AN36" s="16"/>
      <c r="AO36" s="16"/>
      <c r="AP36" s="16"/>
      <c r="AQ36" s="16"/>
      <c r="AR36" s="34">
        <v>0</v>
      </c>
    </row>
    <row r="37" spans="1:44" s="34" customFormat="1" ht="17.25" hidden="1" customHeight="1">
      <c r="A37" s="185"/>
      <c r="D37" s="1180"/>
      <c r="E37" s="1169"/>
      <c r="F37" s="1183"/>
      <c r="G37" s="1169"/>
      <c r="H37" s="746"/>
      <c r="I37" s="747"/>
      <c r="J37" s="747"/>
      <c r="K37" s="747"/>
      <c r="L37" s="747"/>
      <c r="M37" s="747"/>
      <c r="N37" s="747"/>
      <c r="O37" s="747"/>
      <c r="P37" s="747"/>
      <c r="Q37" s="747"/>
      <c r="R37" s="747"/>
      <c r="S37" s="748"/>
      <c r="T37" s="748"/>
      <c r="U37" s="748"/>
      <c r="V37" s="748"/>
      <c r="W37" s="749"/>
      <c r="X37" s="16"/>
      <c r="Y37" s="16"/>
      <c r="Z37" s="16"/>
      <c r="AA37" s="16"/>
      <c r="AB37" s="16"/>
      <c r="AC37" s="16"/>
      <c r="AD37" s="16"/>
      <c r="AE37" s="16"/>
      <c r="AF37" s="16"/>
      <c r="AG37" s="16"/>
      <c r="AH37" s="16"/>
      <c r="AI37" s="16"/>
      <c r="AJ37" s="16"/>
      <c r="AK37" s="16"/>
      <c r="AL37" s="16"/>
      <c r="AM37" s="16"/>
      <c r="AN37" s="16"/>
      <c r="AO37" s="16"/>
      <c r="AP37" s="16"/>
      <c r="AQ37" s="16"/>
      <c r="AR37" s="34">
        <v>0</v>
      </c>
    </row>
    <row r="38" spans="1:44" s="34" customFormat="1" ht="17.25" hidden="1" customHeight="1">
      <c r="A38" s="185"/>
      <c r="C38" s="74"/>
      <c r="D38" s="1179">
        <v>5</v>
      </c>
      <c r="E38" s="1168" t="s">
        <v>176</v>
      </c>
      <c r="F38" s="1181" t="s">
        <v>19</v>
      </c>
      <c r="G38" s="1168"/>
      <c r="H38" s="1170"/>
      <c r="I38" s="1172"/>
      <c r="J38" s="1174"/>
      <c r="K38" s="1166"/>
      <c r="L38" s="1166"/>
      <c r="M38" s="1166"/>
      <c r="N38" s="1177"/>
      <c r="O38" s="1166"/>
      <c r="P38" s="1166"/>
      <c r="Q38" s="1166"/>
      <c r="R38" s="1164"/>
      <c r="S38" s="1166"/>
      <c r="T38" s="801"/>
      <c r="U38" s="801"/>
      <c r="V38" s="800"/>
      <c r="W38" s="743"/>
      <c r="X38" s="728"/>
      <c r="Y38" s="728"/>
      <c r="Z38" s="728"/>
      <c r="AA38" s="728"/>
      <c r="AB38" s="728"/>
      <c r="AC38" s="728" t="s">
        <v>177</v>
      </c>
      <c r="AD38" s="728" t="s">
        <v>178</v>
      </c>
      <c r="AE38" s="728" t="s">
        <v>179</v>
      </c>
      <c r="AF38" s="728" t="s">
        <v>180</v>
      </c>
      <c r="AG38" s="728" t="s">
        <v>181</v>
      </c>
      <c r="AH38" s="728" t="str">
        <f>IF($E$38=0,"",$E$38)</f>
        <v>Тарифы на услуги по передаче тепловой энергии</v>
      </c>
      <c r="AI38" s="728" t="str">
        <f>IF($G$38=0,"",$G$38)</f>
        <v/>
      </c>
      <c r="AJ38" s="728" t="str">
        <f>IF($J$38=0,"",$J$38)</f>
        <v/>
      </c>
      <c r="AK38" s="728" t="str">
        <f>IF($K$38="нет","без дифференциации",IF($N$38=0,"",$N$38))</f>
        <v/>
      </c>
      <c r="AL38" s="728" t="str">
        <f>IF($O$38="нет","без дифференциации",IF($R$38=0,"",$R$38))</f>
        <v/>
      </c>
      <c r="AM38" s="728" t="str">
        <f>IF($S$38="нет","без дифференциации",IF($V$38=0,"",$V$38))</f>
        <v/>
      </c>
      <c r="AN38" s="972">
        <f>$I$38</f>
        <v>0</v>
      </c>
      <c r="AO38" s="728" t="str">
        <f>$I$38&amp;"."&amp;$M$38</f>
        <v>.</v>
      </c>
      <c r="AP38" s="16" t="str">
        <f>$I$38&amp;"."&amp;$M$38&amp;"."&amp;$Q$38</f>
        <v>..</v>
      </c>
      <c r="AQ38" s="16" t="str">
        <f>$I$38&amp;"."&amp;$M$38&amp;"."&amp;$Q$38&amp;"."&amp;$U$38</f>
        <v>...</v>
      </c>
      <c r="AR38" s="34">
        <v>0</v>
      </c>
    </row>
    <row r="39" spans="1:44" s="34" customFormat="1" ht="17.25" hidden="1" customHeight="1">
      <c r="A39" s="185"/>
      <c r="D39" s="1179"/>
      <c r="E39" s="1168"/>
      <c r="F39" s="1182"/>
      <c r="G39" s="1168"/>
      <c r="H39" s="1171"/>
      <c r="I39" s="1173"/>
      <c r="J39" s="1175"/>
      <c r="K39" s="1167"/>
      <c r="L39" s="1167"/>
      <c r="M39" s="1167"/>
      <c r="N39" s="1178"/>
      <c r="O39" s="1167"/>
      <c r="P39" s="1167"/>
      <c r="Q39" s="1167"/>
      <c r="R39" s="1165"/>
      <c r="S39" s="1167"/>
      <c r="T39" s="744"/>
      <c r="U39" s="744"/>
      <c r="V39" s="744"/>
      <c r="W39" s="745"/>
      <c r="X39" s="16"/>
      <c r="Y39" s="16"/>
      <c r="Z39" s="16"/>
      <c r="AA39" s="16"/>
      <c r="AB39" s="16"/>
      <c r="AC39" s="16"/>
      <c r="AD39" s="16"/>
      <c r="AE39" s="16"/>
      <c r="AF39" s="16"/>
      <c r="AG39" s="16"/>
      <c r="AH39" s="16"/>
      <c r="AI39" s="16"/>
      <c r="AJ39" s="16"/>
      <c r="AK39" s="16"/>
      <c r="AL39" s="16"/>
      <c r="AM39" s="16"/>
      <c r="AN39" s="16"/>
      <c r="AO39" s="16"/>
      <c r="AP39" s="16"/>
      <c r="AQ39" s="16"/>
      <c r="AR39" s="34">
        <v>0</v>
      </c>
    </row>
    <row r="40" spans="1:44" s="34" customFormat="1" ht="17.25" hidden="1" customHeight="1">
      <c r="A40" s="185"/>
      <c r="D40" s="1180"/>
      <c r="E40" s="1169"/>
      <c r="F40" s="1182"/>
      <c r="G40" s="1169"/>
      <c r="H40" s="1171"/>
      <c r="I40" s="1173"/>
      <c r="J40" s="1176"/>
      <c r="K40" s="1167"/>
      <c r="L40" s="1167"/>
      <c r="M40" s="1167"/>
      <c r="N40" s="1165"/>
      <c r="O40" s="1167"/>
      <c r="P40" s="53"/>
      <c r="Q40" s="744"/>
      <c r="R40" s="744"/>
      <c r="W40" s="745"/>
      <c r="X40" s="16"/>
      <c r="Y40" s="16"/>
      <c r="Z40" s="16"/>
      <c r="AA40" s="16"/>
      <c r="AB40" s="16"/>
      <c r="AC40" s="16"/>
      <c r="AD40" s="16"/>
      <c r="AE40" s="16"/>
      <c r="AF40" s="16"/>
      <c r="AG40" s="16"/>
      <c r="AH40" s="16"/>
      <c r="AI40" s="16"/>
      <c r="AJ40" s="16"/>
      <c r="AK40" s="16"/>
      <c r="AL40" s="16"/>
      <c r="AM40" s="16"/>
      <c r="AN40" s="16"/>
      <c r="AO40" s="16"/>
      <c r="AP40" s="16"/>
      <c r="AQ40" s="16"/>
      <c r="AR40" s="34">
        <v>0</v>
      </c>
    </row>
    <row r="41" spans="1:44" s="34" customFormat="1" ht="17.25" hidden="1" customHeight="1">
      <c r="A41" s="185"/>
      <c r="D41" s="1180"/>
      <c r="E41" s="1169"/>
      <c r="F41" s="1182"/>
      <c r="G41" s="1169"/>
      <c r="H41" s="1171"/>
      <c r="I41" s="1173"/>
      <c r="J41" s="1176"/>
      <c r="K41" s="1167"/>
      <c r="L41" s="744"/>
      <c r="M41" s="744"/>
      <c r="N41" s="744"/>
      <c r="O41" s="744"/>
      <c r="P41" s="744"/>
      <c r="Q41" s="744"/>
      <c r="R41" s="744"/>
      <c r="W41" s="745"/>
      <c r="X41" s="16"/>
      <c r="Y41" s="16"/>
      <c r="Z41" s="16"/>
      <c r="AA41" s="16"/>
      <c r="AB41" s="16"/>
      <c r="AC41" s="16"/>
      <c r="AD41" s="16"/>
      <c r="AE41" s="16"/>
      <c r="AF41" s="16"/>
      <c r="AG41" s="16"/>
      <c r="AH41" s="16"/>
      <c r="AI41" s="16"/>
      <c r="AJ41" s="16"/>
      <c r="AK41" s="16"/>
      <c r="AL41" s="16"/>
      <c r="AM41" s="16"/>
      <c r="AN41" s="16"/>
      <c r="AO41" s="16"/>
      <c r="AP41" s="16"/>
      <c r="AQ41" s="16"/>
      <c r="AR41" s="34">
        <v>0</v>
      </c>
    </row>
    <row r="42" spans="1:44" s="34" customFormat="1" ht="17.25" hidden="1" customHeight="1">
      <c r="A42" s="185"/>
      <c r="D42" s="1180"/>
      <c r="E42" s="1169"/>
      <c r="F42" s="1183"/>
      <c r="G42" s="1169"/>
      <c r="H42" s="746"/>
      <c r="I42" s="747"/>
      <c r="J42" s="747"/>
      <c r="K42" s="747"/>
      <c r="L42" s="747"/>
      <c r="M42" s="747"/>
      <c r="N42" s="747"/>
      <c r="O42" s="747"/>
      <c r="P42" s="747"/>
      <c r="Q42" s="747"/>
      <c r="R42" s="747"/>
      <c r="S42" s="748"/>
      <c r="T42" s="748"/>
      <c r="U42" s="748"/>
      <c r="V42" s="748"/>
      <c r="W42" s="749"/>
      <c r="X42" s="16"/>
      <c r="Y42" s="16"/>
      <c r="Z42" s="16"/>
      <c r="AA42" s="16"/>
      <c r="AB42" s="16"/>
      <c r="AC42" s="16"/>
      <c r="AD42" s="16"/>
      <c r="AE42" s="16"/>
      <c r="AF42" s="16"/>
      <c r="AG42" s="16"/>
      <c r="AH42" s="16"/>
      <c r="AI42" s="16"/>
      <c r="AJ42" s="16"/>
      <c r="AK42" s="16"/>
      <c r="AL42" s="16"/>
      <c r="AM42" s="16"/>
      <c r="AN42" s="16"/>
      <c r="AO42" s="16"/>
      <c r="AP42" s="16"/>
      <c r="AQ42" s="16"/>
      <c r="AR42" s="34">
        <v>0</v>
      </c>
    </row>
    <row r="43" spans="1:44" s="34" customFormat="1" ht="17.25" hidden="1" customHeight="1">
      <c r="A43" s="185"/>
      <c r="C43" s="74"/>
      <c r="D43" s="1179">
        <v>6</v>
      </c>
      <c r="E43" s="1168" t="s">
        <v>182</v>
      </c>
      <c r="F43" s="1181" t="s">
        <v>19</v>
      </c>
      <c r="G43" s="1168"/>
      <c r="H43" s="1170"/>
      <c r="I43" s="1172"/>
      <c r="J43" s="1174"/>
      <c r="K43" s="1166"/>
      <c r="L43" s="1166"/>
      <c r="M43" s="1166"/>
      <c r="N43" s="1177"/>
      <c r="O43" s="1166"/>
      <c r="P43" s="1166"/>
      <c r="Q43" s="1166"/>
      <c r="R43" s="1164"/>
      <c r="S43" s="1166"/>
      <c r="T43" s="801"/>
      <c r="U43" s="801"/>
      <c r="V43" s="800"/>
      <c r="W43" s="743"/>
      <c r="X43" s="728"/>
      <c r="Y43" s="728"/>
      <c r="Z43" s="728"/>
      <c r="AA43" s="728"/>
      <c r="AB43" s="728"/>
      <c r="AC43" s="728" t="s">
        <v>183</v>
      </c>
      <c r="AD43" s="728" t="s">
        <v>184</v>
      </c>
      <c r="AE43" s="728" t="s">
        <v>185</v>
      </c>
      <c r="AF43" s="728" t="s">
        <v>186</v>
      </c>
      <c r="AG43" s="728" t="s">
        <v>187</v>
      </c>
      <c r="AH43" s="728" t="str">
        <f>IF($E$43=0,"",$E$43)</f>
        <v>Тарифы на услуги по передаче теплоносителя</v>
      </c>
      <c r="AI43" s="728" t="str">
        <f>IF($G$43=0,"",$G$43)</f>
        <v/>
      </c>
      <c r="AJ43" s="728" t="str">
        <f>IF($J$43=0,"",$J$43)</f>
        <v/>
      </c>
      <c r="AK43" s="728" t="str">
        <f>IF($K$43="нет","без дифференциации",IF($N$43=0,"",$N$43))</f>
        <v/>
      </c>
      <c r="AL43" s="728" t="str">
        <f>IF($O$43="нет","без дифференциации",IF($R$43=0,"",$R$43))</f>
        <v/>
      </c>
      <c r="AM43" s="728" t="str">
        <f>IF($S$43="нет","без дифференциации",IF($V$43=0,"",$V$43))</f>
        <v/>
      </c>
      <c r="AN43" s="972">
        <f>$I$43</f>
        <v>0</v>
      </c>
      <c r="AO43" s="728" t="str">
        <f>$I$43&amp;"."&amp;$M$43</f>
        <v>.</v>
      </c>
      <c r="AP43" s="16" t="str">
        <f>$I$43&amp;"."&amp;$M$43&amp;"."&amp;$Q$43</f>
        <v>..</v>
      </c>
      <c r="AQ43" s="16" t="str">
        <f>$I$43&amp;"."&amp;$M$43&amp;"."&amp;$Q$43&amp;"."&amp;$U$43</f>
        <v>...</v>
      </c>
      <c r="AR43" s="34">
        <v>0</v>
      </c>
    </row>
    <row r="44" spans="1:44" s="34" customFormat="1" ht="17.25" hidden="1" customHeight="1">
      <c r="A44" s="185"/>
      <c r="D44" s="1179"/>
      <c r="E44" s="1168"/>
      <c r="F44" s="1182"/>
      <c r="G44" s="1168"/>
      <c r="H44" s="1171"/>
      <c r="I44" s="1173"/>
      <c r="J44" s="1175"/>
      <c r="K44" s="1167"/>
      <c r="L44" s="1167"/>
      <c r="M44" s="1167"/>
      <c r="N44" s="1178"/>
      <c r="O44" s="1167"/>
      <c r="P44" s="1167"/>
      <c r="Q44" s="1167"/>
      <c r="R44" s="1165"/>
      <c r="S44" s="1167"/>
      <c r="T44" s="744"/>
      <c r="U44" s="744"/>
      <c r="V44" s="744"/>
      <c r="W44" s="745"/>
      <c r="X44" s="16"/>
      <c r="Y44" s="16"/>
      <c r="Z44" s="16"/>
      <c r="AA44" s="16"/>
      <c r="AB44" s="16"/>
      <c r="AC44" s="16"/>
      <c r="AD44" s="16"/>
      <c r="AE44" s="16"/>
      <c r="AF44" s="16"/>
      <c r="AG44" s="16"/>
      <c r="AH44" s="16"/>
      <c r="AI44" s="16"/>
      <c r="AJ44" s="16"/>
      <c r="AK44" s="16"/>
      <c r="AL44" s="16"/>
      <c r="AM44" s="16"/>
      <c r="AN44" s="16"/>
      <c r="AO44" s="16"/>
      <c r="AP44" s="16"/>
      <c r="AQ44" s="16"/>
      <c r="AR44" s="34">
        <v>0</v>
      </c>
    </row>
    <row r="45" spans="1:44" s="34" customFormat="1" ht="17.25" hidden="1" customHeight="1">
      <c r="A45" s="185"/>
      <c r="D45" s="1180"/>
      <c r="E45" s="1169"/>
      <c r="F45" s="1182"/>
      <c r="G45" s="1169"/>
      <c r="H45" s="1171"/>
      <c r="I45" s="1173"/>
      <c r="J45" s="1176"/>
      <c r="K45" s="1167"/>
      <c r="L45" s="1167"/>
      <c r="M45" s="1167"/>
      <c r="N45" s="1165"/>
      <c r="O45" s="1167"/>
      <c r="P45" s="53"/>
      <c r="Q45" s="744"/>
      <c r="R45" s="744"/>
      <c r="W45" s="745"/>
      <c r="X45" s="16"/>
      <c r="Y45" s="16"/>
      <c r="Z45" s="16"/>
      <c r="AA45" s="16"/>
      <c r="AB45" s="16"/>
      <c r="AC45" s="16"/>
      <c r="AD45" s="16"/>
      <c r="AE45" s="16"/>
      <c r="AF45" s="16"/>
      <c r="AG45" s="16"/>
      <c r="AH45" s="16"/>
      <c r="AI45" s="16"/>
      <c r="AJ45" s="16"/>
      <c r="AK45" s="16"/>
      <c r="AL45" s="16"/>
      <c r="AM45" s="16"/>
      <c r="AN45" s="16"/>
      <c r="AO45" s="16"/>
      <c r="AP45" s="16"/>
      <c r="AQ45" s="16"/>
      <c r="AR45" s="34">
        <v>0</v>
      </c>
    </row>
    <row r="46" spans="1:44" s="34" customFormat="1" ht="17.25" hidden="1" customHeight="1">
      <c r="A46" s="185"/>
      <c r="C46" s="74"/>
      <c r="D46" s="1180"/>
      <c r="E46" s="1169"/>
      <c r="F46" s="1182"/>
      <c r="G46" s="1169"/>
      <c r="H46" s="1171"/>
      <c r="I46" s="1173"/>
      <c r="J46" s="1176"/>
      <c r="K46" s="1167"/>
      <c r="L46" s="744"/>
      <c r="M46" s="744"/>
      <c r="N46" s="744"/>
      <c r="O46" s="744"/>
      <c r="P46" s="744"/>
      <c r="Q46" s="744"/>
      <c r="R46" s="744"/>
      <c r="W46" s="745"/>
      <c r="Y46" s="728"/>
      <c r="Z46" s="728"/>
      <c r="AA46" s="728"/>
      <c r="AB46" s="728"/>
      <c r="AC46" s="728"/>
      <c r="AD46" s="728"/>
      <c r="AE46" s="728"/>
      <c r="AF46" s="728"/>
      <c r="AG46" s="728"/>
      <c r="AH46" s="728"/>
      <c r="AI46" s="728"/>
      <c r="AJ46" s="728"/>
      <c r="AK46" s="728"/>
      <c r="AL46" s="728"/>
      <c r="AM46" s="728"/>
      <c r="AN46" s="728"/>
      <c r="AO46" s="728"/>
      <c r="AP46" s="728"/>
      <c r="AQ46" s="728"/>
      <c r="AR46" s="34">
        <v>0</v>
      </c>
    </row>
    <row r="47" spans="1:44" s="34" customFormat="1" ht="17.25" hidden="1" customHeight="1">
      <c r="A47" s="185"/>
      <c r="D47" s="1180"/>
      <c r="E47" s="1169"/>
      <c r="F47" s="1183"/>
      <c r="G47" s="1169"/>
      <c r="H47" s="746"/>
      <c r="I47" s="747"/>
      <c r="J47" s="747"/>
      <c r="K47" s="747"/>
      <c r="L47" s="747"/>
      <c r="M47" s="747"/>
      <c r="N47" s="747"/>
      <c r="O47" s="747"/>
      <c r="P47" s="747"/>
      <c r="Q47" s="747"/>
      <c r="R47" s="747"/>
      <c r="S47" s="748"/>
      <c r="T47" s="748"/>
      <c r="U47" s="748"/>
      <c r="V47" s="748"/>
      <c r="W47" s="749"/>
      <c r="X47" s="16"/>
      <c r="Y47" s="16"/>
      <c r="Z47" s="16"/>
      <c r="AA47" s="16"/>
      <c r="AB47" s="16"/>
      <c r="AC47" s="16"/>
      <c r="AD47" s="16"/>
      <c r="AE47" s="16"/>
      <c r="AF47" s="16"/>
      <c r="AG47" s="16"/>
      <c r="AH47" s="16"/>
      <c r="AI47" s="16"/>
      <c r="AJ47" s="16"/>
      <c r="AK47" s="16"/>
      <c r="AL47" s="16"/>
      <c r="AM47" s="16"/>
      <c r="AN47" s="16"/>
      <c r="AO47" s="16"/>
      <c r="AP47" s="16"/>
      <c r="AQ47" s="16"/>
      <c r="AR47" s="34">
        <v>0</v>
      </c>
    </row>
    <row r="48" spans="1:44" s="34" customFormat="1" ht="17.25" hidden="1" customHeight="1">
      <c r="A48" s="185"/>
      <c r="C48" s="74"/>
      <c r="D48" s="1187">
        <v>7</v>
      </c>
      <c r="E48" s="1190" t="s">
        <v>188</v>
      </c>
      <c r="F48" s="1181" t="s">
        <v>19</v>
      </c>
      <c r="G48" s="1190"/>
      <c r="H48" s="1170"/>
      <c r="I48" s="1172"/>
      <c r="J48" s="1174"/>
      <c r="K48" s="1166"/>
      <c r="L48" s="1166"/>
      <c r="M48" s="1166"/>
      <c r="N48" s="1177"/>
      <c r="O48" s="1166"/>
      <c r="P48" s="1166"/>
      <c r="Q48" s="1166"/>
      <c r="R48" s="1164"/>
      <c r="S48" s="1166"/>
      <c r="T48" s="801"/>
      <c r="U48" s="801"/>
      <c r="V48" s="800"/>
      <c r="W48" s="743"/>
      <c r="X48" s="728"/>
      <c r="Y48" s="728"/>
      <c r="Z48" s="728"/>
      <c r="AA48" s="728"/>
      <c r="AB48" s="728"/>
      <c r="AC48" s="728" t="s">
        <v>189</v>
      </c>
      <c r="AD48" s="728" t="s">
        <v>190</v>
      </c>
      <c r="AE48" s="728" t="s">
        <v>191</v>
      </c>
      <c r="AF48" s="728" t="s">
        <v>192</v>
      </c>
      <c r="AG48" s="728" t="s">
        <v>193</v>
      </c>
      <c r="AH48" s="728" t="str">
        <f>IF($E$48=0,"",$E$48)</f>
        <v>Плата за услуги по поддержанию резервной тепловой мощности при отсутствии потребления тепловой энергии</v>
      </c>
      <c r="AI48" s="728" t="str">
        <f>IF($G$48=0,"",$G$48)</f>
        <v/>
      </c>
      <c r="AJ48" s="728" t="str">
        <f>IF($J$48=0,"",$J$48)</f>
        <v/>
      </c>
      <c r="AK48" s="728" t="str">
        <f>IF($K$48="нет","без дифференциации",IF($N$48=0,"",$N$48))</f>
        <v/>
      </c>
      <c r="AL48" s="728" t="str">
        <f>IF($O$48="нет","без дифференциации",IF($R$48=0,"",$R$48))</f>
        <v/>
      </c>
      <c r="AM48" s="728" t="str">
        <f>IF($S$48="нет","без дифференциации",IF($V$48=0,"",$V$48))</f>
        <v/>
      </c>
      <c r="AN48" s="972">
        <f>$I$48</f>
        <v>0</v>
      </c>
      <c r="AO48" s="728" t="str">
        <f>$I$48&amp;"."&amp;$M$48</f>
        <v>.</v>
      </c>
      <c r="AP48" s="16" t="str">
        <f>$I$48&amp;"."&amp;$M$48&amp;"."&amp;$Q$48</f>
        <v>..</v>
      </c>
      <c r="AQ48" s="16" t="str">
        <f>$I$48&amp;"."&amp;$M$48&amp;"."&amp;$Q$48&amp;"."&amp;$U$48</f>
        <v>...</v>
      </c>
      <c r="AR48" s="34">
        <v>0</v>
      </c>
    </row>
    <row r="49" spans="1:44" s="34" customFormat="1" ht="17.25" hidden="1" customHeight="1">
      <c r="A49" s="185"/>
      <c r="D49" s="1188"/>
      <c r="E49" s="1191"/>
      <c r="F49" s="1182"/>
      <c r="G49" s="1191"/>
      <c r="H49" s="1171"/>
      <c r="I49" s="1173"/>
      <c r="J49" s="1175"/>
      <c r="K49" s="1167"/>
      <c r="L49" s="1167"/>
      <c r="M49" s="1167"/>
      <c r="N49" s="1178"/>
      <c r="O49" s="1167"/>
      <c r="P49" s="1167"/>
      <c r="Q49" s="1167"/>
      <c r="R49" s="1165"/>
      <c r="S49" s="1167"/>
      <c r="T49" s="744"/>
      <c r="U49" s="744"/>
      <c r="V49" s="744"/>
      <c r="W49" s="745"/>
      <c r="X49" s="16"/>
      <c r="Y49" s="16"/>
      <c r="Z49" s="16"/>
      <c r="AA49" s="16"/>
      <c r="AB49" s="16"/>
      <c r="AC49" s="16"/>
      <c r="AD49" s="16"/>
      <c r="AE49" s="16"/>
      <c r="AF49" s="16"/>
      <c r="AG49" s="16"/>
      <c r="AH49" s="16"/>
      <c r="AI49" s="16"/>
      <c r="AJ49" s="16"/>
      <c r="AK49" s="16"/>
      <c r="AL49" s="16"/>
      <c r="AM49" s="16"/>
      <c r="AN49" s="16"/>
      <c r="AO49" s="16"/>
      <c r="AP49" s="16"/>
      <c r="AQ49" s="16"/>
      <c r="AR49" s="34">
        <v>0</v>
      </c>
    </row>
    <row r="50" spans="1:44" s="34" customFormat="1" ht="17.25" hidden="1" customHeight="1">
      <c r="A50" s="185"/>
      <c r="D50" s="1188"/>
      <c r="E50" s="1191"/>
      <c r="F50" s="1182"/>
      <c r="G50" s="1191"/>
      <c r="H50" s="1171"/>
      <c r="I50" s="1173"/>
      <c r="J50" s="1176"/>
      <c r="K50" s="1167"/>
      <c r="L50" s="1167"/>
      <c r="M50" s="1167"/>
      <c r="N50" s="1165"/>
      <c r="O50" s="1167"/>
      <c r="P50" s="53"/>
      <c r="Q50" s="744"/>
      <c r="R50" s="744"/>
      <c r="W50" s="745"/>
      <c r="X50" s="16"/>
      <c r="Y50" s="16"/>
      <c r="Z50" s="16"/>
      <c r="AA50" s="16"/>
      <c r="AB50" s="16"/>
      <c r="AC50" s="16"/>
      <c r="AD50" s="16"/>
      <c r="AE50" s="16"/>
      <c r="AF50" s="16"/>
      <c r="AG50" s="16"/>
      <c r="AH50" s="16"/>
      <c r="AI50" s="16"/>
      <c r="AJ50" s="16"/>
      <c r="AK50" s="16"/>
      <c r="AL50" s="16"/>
      <c r="AM50" s="16"/>
      <c r="AN50" s="16"/>
      <c r="AO50" s="16"/>
      <c r="AP50" s="16"/>
      <c r="AQ50" s="16"/>
      <c r="AR50" s="34">
        <v>0</v>
      </c>
    </row>
    <row r="51" spans="1:44" s="34" customFormat="1" ht="17.25" hidden="1" customHeight="1">
      <c r="A51" s="185"/>
      <c r="C51" s="74"/>
      <c r="D51" s="1188"/>
      <c r="E51" s="1191"/>
      <c r="F51" s="1182"/>
      <c r="G51" s="1191"/>
      <c r="H51" s="1171"/>
      <c r="I51" s="1173"/>
      <c r="J51" s="1176"/>
      <c r="K51" s="1167"/>
      <c r="L51" s="744"/>
      <c r="M51" s="744"/>
      <c r="N51" s="744"/>
      <c r="O51" s="744"/>
      <c r="P51" s="744"/>
      <c r="Q51" s="744"/>
      <c r="R51" s="744"/>
      <c r="W51" s="745"/>
      <c r="Y51" s="728"/>
      <c r="Z51" s="728"/>
      <c r="AA51" s="728"/>
      <c r="AB51" s="728"/>
      <c r="AC51" s="728"/>
      <c r="AD51" s="728"/>
      <c r="AE51" s="728"/>
      <c r="AF51" s="728"/>
      <c r="AG51" s="728"/>
      <c r="AH51" s="728"/>
      <c r="AI51" s="728"/>
      <c r="AJ51" s="728"/>
      <c r="AK51" s="728"/>
      <c r="AL51" s="728"/>
      <c r="AM51" s="728"/>
      <c r="AN51" s="728"/>
      <c r="AO51" s="728"/>
      <c r="AP51" s="728"/>
      <c r="AQ51" s="728"/>
      <c r="AR51" s="34">
        <v>0</v>
      </c>
    </row>
    <row r="52" spans="1:44" s="34" customFormat="1" ht="17.25" hidden="1" customHeight="1">
      <c r="A52" s="185"/>
      <c r="D52" s="1189"/>
      <c r="E52" s="1192"/>
      <c r="F52" s="1183"/>
      <c r="G52" s="1192"/>
      <c r="H52" s="746"/>
      <c r="I52" s="747"/>
      <c r="J52" s="747"/>
      <c r="K52" s="747"/>
      <c r="L52" s="747"/>
      <c r="M52" s="747"/>
      <c r="N52" s="747"/>
      <c r="O52" s="747"/>
      <c r="P52" s="747"/>
      <c r="Q52" s="747"/>
      <c r="R52" s="747"/>
      <c r="S52" s="748"/>
      <c r="T52" s="748"/>
      <c r="U52" s="748"/>
      <c r="V52" s="748"/>
      <c r="W52" s="749"/>
      <c r="X52" s="16"/>
      <c r="Y52" s="16"/>
      <c r="Z52" s="16"/>
      <c r="AA52" s="16"/>
      <c r="AB52" s="16"/>
      <c r="AC52" s="16"/>
      <c r="AD52" s="16"/>
      <c r="AE52" s="16"/>
      <c r="AF52" s="16"/>
      <c r="AG52" s="16"/>
      <c r="AH52" s="16"/>
      <c r="AI52" s="16"/>
      <c r="AJ52" s="16"/>
      <c r="AK52" s="16"/>
      <c r="AL52" s="16"/>
      <c r="AM52" s="16"/>
      <c r="AN52" s="16"/>
      <c r="AO52" s="16"/>
      <c r="AP52" s="16"/>
      <c r="AQ52" s="16"/>
      <c r="AR52" s="34">
        <v>0</v>
      </c>
    </row>
    <row r="53" spans="1:44" s="34" customFormat="1" ht="17.25" hidden="1" customHeight="1">
      <c r="A53" s="185"/>
      <c r="C53" s="74"/>
      <c r="D53" s="1179">
        <v>8</v>
      </c>
      <c r="E53" s="1168" t="s">
        <v>194</v>
      </c>
      <c r="F53" s="1181" t="s">
        <v>19</v>
      </c>
      <c r="G53" s="1168"/>
      <c r="H53" s="1170"/>
      <c r="I53" s="1172"/>
      <c r="J53" s="1174"/>
      <c r="K53" s="1166"/>
      <c r="L53" s="1166"/>
      <c r="M53" s="1166"/>
      <c r="N53" s="1177"/>
      <c r="O53" s="1166"/>
      <c r="P53" s="1166"/>
      <c r="Q53" s="1166"/>
      <c r="R53" s="1164"/>
      <c r="S53" s="1166"/>
      <c r="T53" s="801"/>
      <c r="U53" s="801"/>
      <c r="V53" s="800"/>
      <c r="W53" s="743"/>
      <c r="X53" s="728"/>
      <c r="Y53" s="728"/>
      <c r="Z53" s="728"/>
      <c r="AA53" s="728"/>
      <c r="AB53" s="728"/>
      <c r="AC53" s="728" t="s">
        <v>195</v>
      </c>
      <c r="AD53" s="728" t="s">
        <v>196</v>
      </c>
      <c r="AE53" s="728" t="s">
        <v>197</v>
      </c>
      <c r="AF53" s="728" t="s">
        <v>198</v>
      </c>
      <c r="AG53" s="728" t="s">
        <v>199</v>
      </c>
      <c r="AH53" s="728" t="str">
        <f>IF($E$53=0,"",$E$53)</f>
        <v>Плата за подключение (технологическое присоединение) к системе теплоснабжения</v>
      </c>
      <c r="AI53" s="728" t="str">
        <f>IF($G$53=0,"",$G$53)</f>
        <v/>
      </c>
      <c r="AJ53" s="728" t="str">
        <f>IF($J$53=0,"",$J$53)</f>
        <v/>
      </c>
      <c r="AK53" s="728" t="str">
        <f>IF($K$53="нет","без дифференциации",IF($N$53=0,"",$N$53))</f>
        <v/>
      </c>
      <c r="AL53" s="728" t="str">
        <f>IF($O$53="нет","без дифференциации",IF($R$53=0,"",$R$53))</f>
        <v/>
      </c>
      <c r="AM53" s="728" t="str">
        <f>IF($S$53="нет","без дифференциации",IF($V$53=0,"",$V$53))</f>
        <v/>
      </c>
      <c r="AN53" s="972">
        <f>$I$53</f>
        <v>0</v>
      </c>
      <c r="AO53" s="728" t="str">
        <f>$I$53&amp;"."&amp;$M$53</f>
        <v>.</v>
      </c>
      <c r="AP53" s="16" t="str">
        <f>$I$53&amp;"."&amp;$M$53&amp;"."&amp;$Q$53</f>
        <v>..</v>
      </c>
      <c r="AQ53" s="16" t="str">
        <f>$I$53&amp;"."&amp;$M$53&amp;"."&amp;$Q$53&amp;"."&amp;$U$53</f>
        <v>...</v>
      </c>
      <c r="AR53" s="34">
        <v>0</v>
      </c>
    </row>
    <row r="54" spans="1:44" s="34" customFormat="1" ht="17.25" hidden="1" customHeight="1">
      <c r="A54" s="185"/>
      <c r="D54" s="1179"/>
      <c r="E54" s="1168"/>
      <c r="F54" s="1182"/>
      <c r="G54" s="1168"/>
      <c r="H54" s="1171"/>
      <c r="I54" s="1173"/>
      <c r="J54" s="1175"/>
      <c r="K54" s="1167"/>
      <c r="L54" s="1167"/>
      <c r="M54" s="1167"/>
      <c r="N54" s="1178"/>
      <c r="O54" s="1167"/>
      <c r="P54" s="1167"/>
      <c r="Q54" s="1167"/>
      <c r="R54" s="1165"/>
      <c r="S54" s="1167"/>
      <c r="T54" s="744"/>
      <c r="U54" s="744"/>
      <c r="V54" s="744"/>
      <c r="W54" s="745"/>
      <c r="X54" s="16"/>
      <c r="Y54" s="16"/>
      <c r="Z54" s="16"/>
      <c r="AA54" s="16"/>
      <c r="AB54" s="16"/>
      <c r="AC54" s="16"/>
      <c r="AD54" s="16"/>
      <c r="AE54" s="16"/>
      <c r="AF54" s="16"/>
      <c r="AG54" s="16"/>
      <c r="AH54" s="16"/>
      <c r="AI54" s="16"/>
      <c r="AJ54" s="16"/>
      <c r="AK54" s="16"/>
      <c r="AL54" s="16"/>
      <c r="AM54" s="16"/>
      <c r="AN54" s="16"/>
      <c r="AO54" s="16"/>
      <c r="AP54" s="16"/>
      <c r="AQ54" s="16"/>
      <c r="AR54" s="34">
        <v>0</v>
      </c>
    </row>
    <row r="55" spans="1:44" s="34" customFormat="1" ht="17.25" hidden="1" customHeight="1">
      <c r="A55" s="185"/>
      <c r="D55" s="1180"/>
      <c r="E55" s="1169"/>
      <c r="F55" s="1182"/>
      <c r="G55" s="1169"/>
      <c r="H55" s="1171"/>
      <c r="I55" s="1173"/>
      <c r="J55" s="1176"/>
      <c r="K55" s="1167"/>
      <c r="L55" s="1167"/>
      <c r="M55" s="1167"/>
      <c r="N55" s="1165"/>
      <c r="O55" s="1167"/>
      <c r="P55" s="53"/>
      <c r="Q55" s="744"/>
      <c r="R55" s="744"/>
      <c r="W55" s="745"/>
      <c r="X55" s="16"/>
      <c r="Y55" s="16"/>
      <c r="Z55" s="16"/>
      <c r="AA55" s="16"/>
      <c r="AB55" s="16"/>
      <c r="AC55" s="16"/>
      <c r="AD55" s="16"/>
      <c r="AE55" s="16"/>
      <c r="AF55" s="16"/>
      <c r="AG55" s="16"/>
      <c r="AH55" s="16"/>
      <c r="AI55" s="16"/>
      <c r="AJ55" s="16"/>
      <c r="AK55" s="16"/>
      <c r="AL55" s="16"/>
      <c r="AM55" s="16"/>
      <c r="AN55" s="16"/>
      <c r="AO55" s="16"/>
      <c r="AP55" s="16"/>
      <c r="AQ55" s="16"/>
      <c r="AR55" s="34">
        <v>0</v>
      </c>
    </row>
    <row r="56" spans="1:44" s="34" customFormat="1" ht="17.25" hidden="1" customHeight="1">
      <c r="A56" s="185"/>
      <c r="C56" s="74"/>
      <c r="D56" s="1180"/>
      <c r="E56" s="1169"/>
      <c r="F56" s="1182"/>
      <c r="G56" s="1169"/>
      <c r="H56" s="1171"/>
      <c r="I56" s="1173"/>
      <c r="J56" s="1176"/>
      <c r="K56" s="1167"/>
      <c r="L56" s="744"/>
      <c r="M56" s="744"/>
      <c r="N56" s="744"/>
      <c r="O56" s="744"/>
      <c r="P56" s="744"/>
      <c r="Q56" s="744"/>
      <c r="R56" s="744"/>
      <c r="W56" s="745"/>
      <c r="Y56" s="728"/>
      <c r="Z56" s="728"/>
      <c r="AA56" s="728"/>
      <c r="AB56" s="728"/>
      <c r="AC56" s="728"/>
      <c r="AD56" s="728"/>
      <c r="AE56" s="728"/>
      <c r="AF56" s="728"/>
      <c r="AG56" s="728"/>
      <c r="AH56" s="728"/>
      <c r="AI56" s="728"/>
      <c r="AJ56" s="728"/>
      <c r="AK56" s="728"/>
      <c r="AL56" s="728"/>
      <c r="AM56" s="728"/>
      <c r="AN56" s="728"/>
      <c r="AO56" s="728"/>
      <c r="AP56" s="728"/>
      <c r="AQ56" s="728"/>
      <c r="AR56" s="34">
        <v>0</v>
      </c>
    </row>
    <row r="57" spans="1:44" s="34" customFormat="1" ht="17.25" hidden="1" customHeight="1">
      <c r="A57" s="185"/>
      <c r="D57" s="1180"/>
      <c r="E57" s="1169"/>
      <c r="F57" s="1183"/>
      <c r="G57" s="1169"/>
      <c r="H57" s="746"/>
      <c r="I57" s="747"/>
      <c r="J57" s="747"/>
      <c r="K57" s="747"/>
      <c r="L57" s="747"/>
      <c r="M57" s="747"/>
      <c r="N57" s="747"/>
      <c r="O57" s="747"/>
      <c r="P57" s="747"/>
      <c r="Q57" s="747"/>
      <c r="R57" s="747"/>
      <c r="S57" s="748"/>
      <c r="T57" s="748"/>
      <c r="U57" s="748"/>
      <c r="V57" s="748"/>
      <c r="W57" s="749"/>
      <c r="X57" s="16"/>
      <c r="Y57" s="16"/>
      <c r="Z57" s="16"/>
      <c r="AA57" s="16"/>
      <c r="AB57" s="16"/>
      <c r="AC57" s="16"/>
      <c r="AD57" s="16"/>
      <c r="AE57" s="16"/>
      <c r="AF57" s="16"/>
      <c r="AG57" s="16"/>
      <c r="AH57" s="16"/>
      <c r="AI57" s="16"/>
      <c r="AJ57" s="16"/>
      <c r="AK57" s="16"/>
      <c r="AL57" s="16"/>
      <c r="AM57" s="16"/>
      <c r="AN57" s="16"/>
      <c r="AO57" s="16"/>
      <c r="AP57" s="16"/>
      <c r="AQ57" s="16"/>
      <c r="AR57" s="34">
        <v>0</v>
      </c>
    </row>
    <row r="58" spans="1:44" s="34" customFormat="1" ht="17.25" hidden="1" customHeight="1">
      <c r="A58" s="185"/>
      <c r="C58" s="74"/>
      <c r="D58" s="1179">
        <v>9</v>
      </c>
      <c r="E58" s="1168" t="s">
        <v>200</v>
      </c>
      <c r="F58" s="1181" t="s">
        <v>19</v>
      </c>
      <c r="G58" s="1168"/>
      <c r="H58" s="1170"/>
      <c r="I58" s="1172"/>
      <c r="J58" s="1174"/>
      <c r="K58" s="1166"/>
      <c r="L58" s="1166"/>
      <c r="M58" s="1166"/>
      <c r="N58" s="1177"/>
      <c r="O58" s="1166"/>
      <c r="P58" s="1166"/>
      <c r="Q58" s="1166"/>
      <c r="R58" s="1164"/>
      <c r="S58" s="1166"/>
      <c r="T58" s="801"/>
      <c r="U58" s="801"/>
      <c r="V58" s="800"/>
      <c r="W58" s="743"/>
      <c r="X58" s="728"/>
      <c r="Y58" s="728"/>
      <c r="Z58" s="728"/>
      <c r="AA58" s="728"/>
      <c r="AB58" s="728"/>
      <c r="AC58" s="728" t="s">
        <v>201</v>
      </c>
      <c r="AD58" s="728" t="s">
        <v>202</v>
      </c>
      <c r="AE58" s="728" t="s">
        <v>203</v>
      </c>
      <c r="AF58" s="728" t="s">
        <v>204</v>
      </c>
      <c r="AG58" s="728" t="s">
        <v>205</v>
      </c>
      <c r="AH58" s="728" t="str">
        <f>IF($E$58=0,"",$E$58)</f>
        <v>Плата за подключение (технологическое присоединение) к системе теплоснабжения (индивидуальная)</v>
      </c>
      <c r="AI58" s="728" t="str">
        <f>IF($G$58=0,"",$G$58)</f>
        <v/>
      </c>
      <c r="AJ58" s="728" t="str">
        <f>IF($J$58=0,"",$J$58)</f>
        <v/>
      </c>
      <c r="AK58" s="728" t="str">
        <f>IF($K$58="нет","без дифференциации",IF($N$58=0,"",$N$58))</f>
        <v/>
      </c>
      <c r="AL58" s="728" t="str">
        <f>IF($O$58="нет","без дифференциации",IF($R$58=0,"",$R$58))</f>
        <v/>
      </c>
      <c r="AM58" s="728" t="str">
        <f>IF($S$58="нет","без дифференциации",IF($V$58=0,"",$V$58))</f>
        <v/>
      </c>
      <c r="AN58" s="972">
        <f>$I$58</f>
        <v>0</v>
      </c>
      <c r="AO58" s="728" t="str">
        <f>$I$58&amp;"."&amp;$M$58</f>
        <v>.</v>
      </c>
      <c r="AP58" s="16" t="str">
        <f>$I$58&amp;"."&amp;$M$58&amp;"."&amp;$Q$58</f>
        <v>..</v>
      </c>
      <c r="AQ58" s="16" t="str">
        <f>$I$58&amp;"."&amp;$M$58&amp;"."&amp;$Q$58&amp;"."&amp;$U$58</f>
        <v>...</v>
      </c>
      <c r="AR58" s="34">
        <v>0</v>
      </c>
    </row>
    <row r="59" spans="1:44" s="34" customFormat="1" ht="17.25" hidden="1" customHeight="1">
      <c r="A59" s="185"/>
      <c r="D59" s="1179"/>
      <c r="E59" s="1168"/>
      <c r="F59" s="1182"/>
      <c r="G59" s="1168"/>
      <c r="H59" s="1171"/>
      <c r="I59" s="1173"/>
      <c r="J59" s="1175"/>
      <c r="K59" s="1167"/>
      <c r="L59" s="1167"/>
      <c r="M59" s="1167"/>
      <c r="N59" s="1178"/>
      <c r="O59" s="1167"/>
      <c r="P59" s="1167"/>
      <c r="Q59" s="1167"/>
      <c r="R59" s="1165"/>
      <c r="S59" s="1167"/>
      <c r="T59" s="744"/>
      <c r="U59" s="744"/>
      <c r="V59" s="744"/>
      <c r="W59" s="745"/>
      <c r="X59" s="16"/>
      <c r="Y59" s="16"/>
      <c r="Z59" s="16"/>
      <c r="AA59" s="16"/>
      <c r="AB59" s="16"/>
      <c r="AC59" s="16"/>
      <c r="AD59" s="16"/>
      <c r="AE59" s="16"/>
      <c r="AF59" s="16"/>
      <c r="AG59" s="16"/>
      <c r="AH59" s="16"/>
      <c r="AI59" s="16"/>
      <c r="AJ59" s="16"/>
      <c r="AK59" s="16"/>
      <c r="AL59" s="16"/>
      <c r="AM59" s="16"/>
      <c r="AN59" s="16"/>
      <c r="AO59" s="16"/>
      <c r="AP59" s="16"/>
      <c r="AQ59" s="16"/>
      <c r="AR59" s="34">
        <v>0</v>
      </c>
    </row>
    <row r="60" spans="1:44" s="34" customFormat="1" ht="17.25" hidden="1" customHeight="1">
      <c r="A60" s="185"/>
      <c r="D60" s="1180"/>
      <c r="E60" s="1169"/>
      <c r="F60" s="1182"/>
      <c r="G60" s="1169"/>
      <c r="H60" s="1171"/>
      <c r="I60" s="1173"/>
      <c r="J60" s="1176"/>
      <c r="K60" s="1167"/>
      <c r="L60" s="1167"/>
      <c r="M60" s="1167"/>
      <c r="N60" s="1165"/>
      <c r="O60" s="1167"/>
      <c r="P60" s="53"/>
      <c r="Q60" s="744"/>
      <c r="R60" s="744"/>
      <c r="W60" s="745"/>
      <c r="X60" s="16"/>
      <c r="Y60" s="16"/>
      <c r="Z60" s="16"/>
      <c r="AA60" s="16"/>
      <c r="AB60" s="16"/>
      <c r="AC60" s="16"/>
      <c r="AD60" s="16"/>
      <c r="AE60" s="16"/>
      <c r="AF60" s="16"/>
      <c r="AG60" s="16"/>
      <c r="AH60" s="16"/>
      <c r="AI60" s="16"/>
      <c r="AJ60" s="16"/>
      <c r="AK60" s="16"/>
      <c r="AL60" s="16"/>
      <c r="AM60" s="16"/>
      <c r="AN60" s="16"/>
      <c r="AO60" s="16"/>
      <c r="AP60" s="16"/>
      <c r="AQ60" s="16"/>
      <c r="AR60" s="34">
        <v>0</v>
      </c>
    </row>
    <row r="61" spans="1:44" s="34" customFormat="1" ht="17.25" hidden="1" customHeight="1">
      <c r="A61" s="185"/>
      <c r="C61" s="74"/>
      <c r="D61" s="1180"/>
      <c r="E61" s="1169"/>
      <c r="F61" s="1182"/>
      <c r="G61" s="1169"/>
      <c r="H61" s="1171"/>
      <c r="I61" s="1173"/>
      <c r="J61" s="1176"/>
      <c r="K61" s="1167"/>
      <c r="L61" s="744"/>
      <c r="M61" s="744"/>
      <c r="N61" s="744"/>
      <c r="O61" s="744"/>
      <c r="P61" s="744"/>
      <c r="Q61" s="744"/>
      <c r="R61" s="744"/>
      <c r="W61" s="745"/>
      <c r="Y61" s="728"/>
      <c r="Z61" s="728"/>
      <c r="AA61" s="728"/>
      <c r="AB61" s="728"/>
      <c r="AC61" s="728"/>
      <c r="AD61" s="728"/>
      <c r="AE61" s="728"/>
      <c r="AF61" s="728"/>
      <c r="AG61" s="728"/>
      <c r="AH61" s="728"/>
      <c r="AI61" s="728"/>
      <c r="AJ61" s="728"/>
      <c r="AK61" s="728"/>
      <c r="AL61" s="728"/>
      <c r="AM61" s="728"/>
      <c r="AN61" s="728"/>
      <c r="AO61" s="728"/>
      <c r="AP61" s="728"/>
      <c r="AQ61" s="728"/>
      <c r="AR61" s="34">
        <v>0</v>
      </c>
    </row>
    <row r="62" spans="1:44" s="34" customFormat="1" ht="17.25" hidden="1" customHeight="1">
      <c r="A62" s="185"/>
      <c r="D62" s="1180"/>
      <c r="E62" s="1169"/>
      <c r="F62" s="1183"/>
      <c r="G62" s="1169"/>
      <c r="H62" s="746"/>
      <c r="I62" s="747"/>
      <c r="J62" s="747"/>
      <c r="K62" s="747"/>
      <c r="L62" s="747"/>
      <c r="M62" s="747"/>
      <c r="N62" s="747"/>
      <c r="O62" s="747"/>
      <c r="P62" s="747"/>
      <c r="Q62" s="747"/>
      <c r="R62" s="747"/>
      <c r="S62" s="748"/>
      <c r="T62" s="748"/>
      <c r="U62" s="748"/>
      <c r="V62" s="748"/>
      <c r="W62" s="749"/>
      <c r="X62" s="16"/>
      <c r="Y62" s="16"/>
      <c r="Z62" s="16"/>
      <c r="AA62" s="16"/>
      <c r="AB62" s="16"/>
      <c r="AC62" s="16"/>
      <c r="AD62" s="16"/>
      <c r="AE62" s="16"/>
      <c r="AF62" s="16"/>
      <c r="AG62" s="16"/>
      <c r="AH62" s="16"/>
      <c r="AI62" s="16"/>
      <c r="AJ62" s="16"/>
      <c r="AK62" s="16"/>
      <c r="AL62" s="16"/>
      <c r="AM62" s="16"/>
      <c r="AN62" s="16"/>
      <c r="AO62" s="16"/>
      <c r="AP62" s="16"/>
      <c r="AQ62" s="16"/>
      <c r="AR62" s="34">
        <v>0</v>
      </c>
    </row>
    <row r="63" spans="1:44" s="34" customFormat="1" ht="17.25" hidden="1" customHeight="1">
      <c r="A63" s="185"/>
      <c r="C63" s="74"/>
      <c r="D63" s="1179">
        <v>10</v>
      </c>
      <c r="E63" s="1168" t="s">
        <v>206</v>
      </c>
      <c r="F63" s="1181" t="s">
        <v>19</v>
      </c>
      <c r="G63" s="1168"/>
      <c r="H63" s="1170"/>
      <c r="I63" s="1172"/>
      <c r="J63" s="1174"/>
      <c r="K63" s="1166"/>
      <c r="L63" s="1166"/>
      <c r="M63" s="1166"/>
      <c r="N63" s="1177"/>
      <c r="O63" s="1166"/>
      <c r="P63" s="1166"/>
      <c r="Q63" s="1166"/>
      <c r="R63" s="1164"/>
      <c r="S63" s="1166"/>
      <c r="T63" s="801"/>
      <c r="U63" s="801"/>
      <c r="V63" s="800"/>
      <c r="W63" s="743"/>
      <c r="X63" s="728"/>
      <c r="Y63" s="728"/>
      <c r="Z63" s="728"/>
      <c r="AA63" s="728"/>
      <c r="AB63" s="728"/>
      <c r="AC63" s="728" t="s">
        <v>207</v>
      </c>
      <c r="AD63" s="728" t="s">
        <v>208</v>
      </c>
      <c r="AE63" s="728" t="s">
        <v>209</v>
      </c>
      <c r="AF63" s="728" t="s">
        <v>210</v>
      </c>
      <c r="AG63" s="728" t="s">
        <v>211</v>
      </c>
      <c r="AH63" s="728" t="str">
        <f>IF($E$63=0,"",$E$63)</f>
        <v>Предельный уровень цены на тепловую энергию (мощность), поставляемую теплоснабжающими организациями потребителям</v>
      </c>
      <c r="AI63" s="728" t="str">
        <f>IF($G$63=0,"",$G$63)</f>
        <v/>
      </c>
      <c r="AJ63" s="728" t="str">
        <f>IF($J$63=0,"",$J$63)</f>
        <v/>
      </c>
      <c r="AK63" s="728" t="str">
        <f>IF($K$63="нет","без дифференциации",IF($N$63=0,"",$N$63))</f>
        <v/>
      </c>
      <c r="AL63" s="728" t="str">
        <f>IF($O$63="нет","без дифференциации",IF($R$63=0,"",$R$63))</f>
        <v/>
      </c>
      <c r="AM63" s="728" t="str">
        <f>IF($S$63="нет","без дифференциации",IF($V$63=0,"",$V$63))</f>
        <v/>
      </c>
      <c r="AN63" s="972">
        <f>$I$63</f>
        <v>0</v>
      </c>
      <c r="AO63" s="728" t="str">
        <f>$I$63&amp;"."&amp;$M$63</f>
        <v>.</v>
      </c>
      <c r="AP63" s="16" t="str">
        <f>$I$63&amp;"."&amp;$M$63&amp;"."&amp;$Q$63</f>
        <v>..</v>
      </c>
      <c r="AQ63" s="16" t="str">
        <f>$I$63&amp;"."&amp;$M$63&amp;"."&amp;$Q$63&amp;"."&amp;$U$63</f>
        <v>...</v>
      </c>
      <c r="AR63" s="34">
        <v>0</v>
      </c>
    </row>
    <row r="64" spans="1:44" s="34" customFormat="1" ht="17.25" hidden="1" customHeight="1">
      <c r="A64" s="185"/>
      <c r="D64" s="1179"/>
      <c r="E64" s="1168"/>
      <c r="F64" s="1182"/>
      <c r="G64" s="1168"/>
      <c r="H64" s="1171"/>
      <c r="I64" s="1173"/>
      <c r="J64" s="1175"/>
      <c r="K64" s="1167"/>
      <c r="L64" s="1167"/>
      <c r="M64" s="1167"/>
      <c r="N64" s="1178"/>
      <c r="O64" s="1167"/>
      <c r="P64" s="1167"/>
      <c r="Q64" s="1167"/>
      <c r="R64" s="1165"/>
      <c r="S64" s="1167"/>
      <c r="T64" s="744"/>
      <c r="U64" s="744"/>
      <c r="V64" s="744"/>
      <c r="W64" s="745"/>
      <c r="X64" s="16"/>
      <c r="Y64" s="16"/>
      <c r="Z64" s="16"/>
      <c r="AA64" s="16"/>
      <c r="AB64" s="16"/>
      <c r="AC64" s="16"/>
      <c r="AD64" s="16"/>
      <c r="AE64" s="16"/>
      <c r="AF64" s="16"/>
      <c r="AG64" s="16"/>
      <c r="AH64" s="16"/>
      <c r="AI64" s="16"/>
      <c r="AJ64" s="16"/>
      <c r="AK64" s="16"/>
      <c r="AL64" s="16"/>
      <c r="AM64" s="16"/>
      <c r="AN64" s="16"/>
      <c r="AO64" s="16"/>
      <c r="AP64" s="16"/>
      <c r="AQ64" s="16"/>
      <c r="AR64" s="34">
        <v>0</v>
      </c>
    </row>
    <row r="65" spans="1:44" s="34" customFormat="1" ht="17.25" hidden="1" customHeight="1">
      <c r="A65" s="185"/>
      <c r="D65" s="1180"/>
      <c r="E65" s="1169"/>
      <c r="F65" s="1182"/>
      <c r="G65" s="1169"/>
      <c r="H65" s="1171"/>
      <c r="I65" s="1173"/>
      <c r="J65" s="1176"/>
      <c r="K65" s="1167"/>
      <c r="L65" s="1167"/>
      <c r="M65" s="1167"/>
      <c r="N65" s="1165"/>
      <c r="O65" s="1167"/>
      <c r="P65" s="53"/>
      <c r="Q65" s="744"/>
      <c r="R65" s="744"/>
      <c r="W65" s="745"/>
      <c r="X65" s="16"/>
      <c r="Y65" s="16"/>
      <c r="Z65" s="16"/>
      <c r="AA65" s="16"/>
      <c r="AB65" s="16"/>
      <c r="AC65" s="16"/>
      <c r="AD65" s="16"/>
      <c r="AE65" s="16"/>
      <c r="AF65" s="16"/>
      <c r="AG65" s="16"/>
      <c r="AH65" s="16"/>
      <c r="AI65" s="16"/>
      <c r="AJ65" s="16"/>
      <c r="AK65" s="16"/>
      <c r="AL65" s="16"/>
      <c r="AM65" s="16"/>
      <c r="AN65" s="16"/>
      <c r="AO65" s="16"/>
      <c r="AP65" s="16"/>
      <c r="AQ65" s="16"/>
      <c r="AR65" s="34">
        <v>0</v>
      </c>
    </row>
    <row r="66" spans="1:44" s="34" customFormat="1" ht="17.25" hidden="1" customHeight="1">
      <c r="A66" s="185"/>
      <c r="C66" s="74"/>
      <c r="D66" s="1180"/>
      <c r="E66" s="1169"/>
      <c r="F66" s="1182"/>
      <c r="G66" s="1169"/>
      <c r="H66" s="1171"/>
      <c r="I66" s="1173"/>
      <c r="J66" s="1176"/>
      <c r="K66" s="1167"/>
      <c r="L66" s="744"/>
      <c r="M66" s="744"/>
      <c r="N66" s="744"/>
      <c r="O66" s="744"/>
      <c r="P66" s="744"/>
      <c r="Q66" s="744"/>
      <c r="R66" s="744"/>
      <c r="W66" s="745"/>
      <c r="Y66" s="728"/>
      <c r="Z66" s="728"/>
      <c r="AA66" s="728"/>
      <c r="AB66" s="728"/>
      <c r="AC66" s="728"/>
      <c r="AD66" s="728"/>
      <c r="AE66" s="728"/>
      <c r="AF66" s="728"/>
      <c r="AG66" s="728"/>
      <c r="AH66" s="728"/>
      <c r="AI66" s="728"/>
      <c r="AJ66" s="728"/>
      <c r="AK66" s="728"/>
      <c r="AL66" s="728"/>
      <c r="AM66" s="728"/>
      <c r="AN66" s="728"/>
      <c r="AO66" s="728"/>
      <c r="AP66" s="728"/>
      <c r="AQ66" s="728"/>
      <c r="AR66" s="34">
        <v>0</v>
      </c>
    </row>
    <row r="67" spans="1:44" s="34" customFormat="1" ht="17.25" hidden="1" customHeight="1">
      <c r="A67" s="185"/>
      <c r="D67" s="1180"/>
      <c r="E67" s="1169"/>
      <c r="F67" s="1183"/>
      <c r="G67" s="1169"/>
      <c r="H67" s="746"/>
      <c r="I67" s="747"/>
      <c r="J67" s="747"/>
      <c r="K67" s="747"/>
      <c r="L67" s="747"/>
      <c r="M67" s="747"/>
      <c r="N67" s="747"/>
      <c r="O67" s="747"/>
      <c r="P67" s="747"/>
      <c r="Q67" s="747"/>
      <c r="R67" s="747"/>
      <c r="S67" s="748"/>
      <c r="T67" s="748"/>
      <c r="U67" s="748"/>
      <c r="V67" s="748"/>
      <c r="W67" s="749"/>
      <c r="X67" s="16"/>
      <c r="Y67" s="16"/>
      <c r="Z67" s="16"/>
      <c r="AA67" s="16"/>
      <c r="AB67" s="16"/>
      <c r="AC67" s="16"/>
      <c r="AD67" s="16"/>
      <c r="AE67" s="16"/>
      <c r="AF67" s="16"/>
      <c r="AG67" s="16"/>
      <c r="AH67" s="16"/>
      <c r="AI67" s="16"/>
      <c r="AJ67" s="16"/>
      <c r="AK67" s="16"/>
      <c r="AL67" s="16"/>
      <c r="AM67" s="16"/>
      <c r="AN67" s="16"/>
      <c r="AO67" s="16"/>
      <c r="AP67" s="16"/>
      <c r="AQ67" s="16"/>
      <c r="AR67" s="34">
        <v>0</v>
      </c>
    </row>
    <row r="68" spans="1:44" ht="11.25" hidden="1" customHeight="1">
      <c r="AR68" s="34">
        <v>0</v>
      </c>
    </row>
    <row r="69" spans="1:44" ht="11.25" hidden="1" customHeight="1">
      <c r="E69" s="1186" t="s">
        <v>212</v>
      </c>
      <c r="F69" s="1186"/>
      <c r="G69" s="1186"/>
      <c r="H69" s="1186"/>
      <c r="I69" s="1186"/>
      <c r="J69" s="1186"/>
      <c r="K69" s="1186"/>
      <c r="L69" s="1186"/>
      <c r="M69" s="1186"/>
      <c r="N69" s="1186"/>
      <c r="O69" s="1186"/>
      <c r="P69" s="1186"/>
      <c r="Q69" s="1186"/>
      <c r="R69" s="1186"/>
      <c r="S69" s="1186"/>
      <c r="T69" s="1186"/>
      <c r="U69" s="1186"/>
      <c r="V69" s="1186"/>
      <c r="W69" s="1186"/>
      <c r="AR69" s="34">
        <v>0</v>
      </c>
    </row>
    <row r="70" spans="1:44" ht="36.75" hidden="1" customHeight="1">
      <c r="E70" s="1184" t="s">
        <v>213</v>
      </c>
      <c r="F70" s="1184"/>
      <c r="G70" s="1185"/>
      <c r="H70" s="1185"/>
      <c r="I70" s="1185"/>
      <c r="J70" s="1185"/>
      <c r="K70" s="1185"/>
      <c r="L70" s="1185"/>
      <c r="M70" s="1185"/>
      <c r="N70" s="1185"/>
      <c r="O70" s="1185"/>
      <c r="P70" s="1185"/>
      <c r="Q70" s="1185"/>
      <c r="R70" s="1185"/>
      <c r="S70" s="1185"/>
      <c r="T70" s="1185"/>
      <c r="U70" s="1185"/>
      <c r="V70" s="1185"/>
      <c r="W70" s="1185"/>
      <c r="AR70" s="34">
        <v>0</v>
      </c>
    </row>
    <row r="71" spans="1:44" ht="28.5" hidden="1" customHeight="1">
      <c r="E71" s="1184" t="s">
        <v>214</v>
      </c>
      <c r="F71" s="1184"/>
      <c r="G71" s="1185"/>
      <c r="H71" s="1185"/>
      <c r="I71" s="1185"/>
      <c r="J71" s="1185"/>
      <c r="K71" s="1185"/>
      <c r="L71" s="1185"/>
      <c r="M71" s="1185"/>
      <c r="N71" s="1185"/>
      <c r="O71" s="1185"/>
      <c r="P71" s="1185"/>
      <c r="Q71" s="1185"/>
      <c r="R71" s="1185"/>
      <c r="S71" s="1185"/>
      <c r="T71" s="1185"/>
      <c r="U71" s="1185"/>
      <c r="V71" s="1185"/>
      <c r="W71" s="1185"/>
      <c r="AR71" s="34">
        <v>0</v>
      </c>
    </row>
    <row r="72" spans="1:44" ht="27" hidden="1" customHeight="1">
      <c r="E72" s="1184" t="s">
        <v>215</v>
      </c>
      <c r="F72" s="1184"/>
      <c r="G72" s="1185"/>
      <c r="H72" s="1185"/>
      <c r="I72" s="1185"/>
      <c r="J72" s="1185"/>
      <c r="K72" s="1185"/>
      <c r="L72" s="1185"/>
      <c r="M72" s="1185"/>
      <c r="N72" s="1185"/>
      <c r="O72" s="1185"/>
      <c r="P72" s="1185"/>
      <c r="Q72" s="1185"/>
      <c r="R72" s="1185"/>
      <c r="S72" s="1185"/>
      <c r="T72" s="1185"/>
      <c r="U72" s="1185"/>
      <c r="V72" s="1185"/>
      <c r="W72" s="1185"/>
      <c r="AR72" s="34">
        <v>0</v>
      </c>
    </row>
    <row r="73" spans="1:44" ht="17.25" hidden="1" customHeight="1">
      <c r="E73" s="1184" t="s">
        <v>216</v>
      </c>
      <c r="F73" s="1184"/>
      <c r="G73" s="1185"/>
      <c r="H73" s="1185"/>
      <c r="I73" s="1185"/>
      <c r="J73" s="1185"/>
      <c r="K73" s="1185"/>
      <c r="L73" s="1185"/>
      <c r="M73" s="1185"/>
      <c r="N73" s="1185"/>
      <c r="O73" s="1185"/>
      <c r="P73" s="1185"/>
      <c r="Q73" s="1185"/>
      <c r="R73" s="1185"/>
      <c r="S73" s="1185"/>
      <c r="T73" s="1185"/>
      <c r="U73" s="1185"/>
      <c r="V73" s="1185"/>
      <c r="W73" s="1185"/>
      <c r="AR73" s="34">
        <v>0</v>
      </c>
    </row>
    <row r="74" spans="1:44" ht="15" hidden="1" customHeight="1">
      <c r="E74" s="197"/>
      <c r="F74" s="197"/>
      <c r="G74" s="68"/>
      <c r="H74" s="68"/>
      <c r="I74" s="68"/>
      <c r="J74" s="68"/>
      <c r="K74" s="68"/>
      <c r="L74" s="68"/>
      <c r="M74" s="68"/>
      <c r="N74" s="68"/>
      <c r="O74" s="68"/>
      <c r="P74" s="68"/>
      <c r="Q74" s="68"/>
      <c r="R74" s="68"/>
      <c r="S74" s="68"/>
      <c r="T74" s="68"/>
      <c r="U74" s="68"/>
      <c r="V74" s="68"/>
      <c r="W74" s="68"/>
      <c r="AR74" s="34">
        <v>0</v>
      </c>
    </row>
    <row r="75" spans="1:44" ht="15" hidden="1" customHeight="1">
      <c r="E75" s="1186" t="s">
        <v>217</v>
      </c>
      <c r="F75" s="1186"/>
      <c r="G75" s="1186"/>
      <c r="H75" s="1186"/>
      <c r="I75" s="1186"/>
      <c r="J75" s="1186"/>
      <c r="K75" s="1186"/>
      <c r="L75" s="1186"/>
      <c r="M75" s="1186"/>
      <c r="N75" s="1186"/>
      <c r="O75" s="1186"/>
      <c r="P75" s="1186"/>
      <c r="Q75" s="1186"/>
      <c r="R75" s="1186"/>
      <c r="S75" s="1186"/>
      <c r="T75" s="1186"/>
      <c r="U75" s="1186"/>
      <c r="V75" s="1186"/>
      <c r="W75" s="1186"/>
      <c r="AR75" s="34">
        <v>0</v>
      </c>
    </row>
    <row r="76" spans="1:44" ht="17.25" hidden="1" customHeight="1">
      <c r="E76" s="1184" t="s">
        <v>218</v>
      </c>
      <c r="F76" s="1184"/>
      <c r="G76" s="1185"/>
      <c r="H76" s="1185"/>
      <c r="I76" s="1185"/>
      <c r="J76" s="1185"/>
      <c r="K76" s="1185"/>
      <c r="L76" s="1185"/>
      <c r="M76" s="1185"/>
      <c r="N76" s="1185"/>
      <c r="O76" s="1185"/>
      <c r="P76" s="1185"/>
      <c r="Q76" s="1185"/>
      <c r="R76" s="1185"/>
      <c r="S76" s="1185"/>
      <c r="T76" s="1185"/>
      <c r="U76" s="1185"/>
      <c r="V76" s="1185"/>
      <c r="W76" s="1185"/>
      <c r="AR76" s="34">
        <v>0</v>
      </c>
    </row>
    <row r="77" spans="1:44" ht="17.25" hidden="1" customHeight="1">
      <c r="E77" s="1184" t="s">
        <v>219</v>
      </c>
      <c r="F77" s="1184"/>
      <c r="G77" s="1185"/>
      <c r="H77" s="1185"/>
      <c r="I77" s="1185"/>
      <c r="J77" s="1185"/>
      <c r="K77" s="1185"/>
      <c r="L77" s="1185"/>
      <c r="M77" s="1185"/>
      <c r="N77" s="1185"/>
      <c r="O77" s="1185"/>
      <c r="P77" s="1185"/>
      <c r="Q77" s="1185"/>
      <c r="R77" s="1185"/>
      <c r="S77" s="1185"/>
      <c r="T77" s="1185"/>
      <c r="U77" s="1185"/>
      <c r="V77" s="1185"/>
      <c r="W77" s="1185"/>
      <c r="AR77" s="34">
        <v>0</v>
      </c>
    </row>
    <row r="78" spans="1:44" s="34" customFormat="1" ht="11.25" hidden="1" customHeight="1">
      <c r="A78" s="66"/>
      <c r="B78" s="66"/>
      <c r="Y78" s="16"/>
      <c r="Z78" s="16"/>
      <c r="AA78" s="16"/>
      <c r="AB78" s="16"/>
      <c r="AC78" s="16"/>
      <c r="AD78" s="16"/>
      <c r="AE78" s="16"/>
      <c r="AF78" s="16"/>
      <c r="AG78" s="16"/>
      <c r="AH78" s="16"/>
      <c r="AI78" s="16"/>
      <c r="AJ78" s="16"/>
      <c r="AK78" s="16"/>
      <c r="AL78" s="16"/>
      <c r="AM78" s="16"/>
      <c r="AN78" s="16"/>
      <c r="AO78" s="16"/>
      <c r="AP78" s="16"/>
      <c r="AQ78" s="16"/>
      <c r="AR78" s="34">
        <v>0</v>
      </c>
    </row>
    <row r="79" spans="1:44" s="34" customFormat="1" ht="17.25" customHeight="1">
      <c r="A79" s="185"/>
      <c r="C79" s="74"/>
      <c r="D79" s="1179">
        <v>1</v>
      </c>
      <c r="E79" s="1168" t="s">
        <v>220</v>
      </c>
      <c r="F79" s="1181" t="s">
        <v>19</v>
      </c>
      <c r="G79" s="1168"/>
      <c r="H79" s="1170"/>
      <c r="I79" s="1172"/>
      <c r="J79" s="1174"/>
      <c r="K79" s="1166"/>
      <c r="L79" s="1166"/>
      <c r="M79" s="1166"/>
      <c r="N79" s="1177"/>
      <c r="O79" s="1166"/>
      <c r="P79" s="1166"/>
      <c r="Q79" s="1166"/>
      <c r="R79" s="1164"/>
      <c r="S79" s="1166"/>
      <c r="T79" s="801"/>
      <c r="U79" s="801"/>
      <c r="V79" s="800"/>
      <c r="W79" s="743"/>
      <c r="Y79" s="728"/>
      <c r="Z79" s="728"/>
      <c r="AA79" s="728"/>
      <c r="AB79" s="728"/>
      <c r="AC79" s="728" t="s">
        <v>221</v>
      </c>
      <c r="AD79" s="728" t="s">
        <v>222</v>
      </c>
      <c r="AE79" s="728" t="s">
        <v>223</v>
      </c>
      <c r="AF79" s="728" t="s">
        <v>224</v>
      </c>
      <c r="AG79" s="728"/>
      <c r="AH79" s="728" t="str">
        <f>IF($E$79=0,"",$E$79)</f>
        <v>Тариф на питьевую воду (питьевое водоснабжение)</v>
      </c>
      <c r="AI79" s="728" t="str">
        <f>IF($G$79=0,"",$G$79)</f>
        <v/>
      </c>
      <c r="AJ79" s="728" t="str">
        <f>IF($J$79=0,"",$J$79)</f>
        <v/>
      </c>
      <c r="AK79" s="728" t="str">
        <f>IF($K$79="нет","без дифференциации",IF($N$79=0,"",$N$79))</f>
        <v/>
      </c>
      <c r="AL79" s="728" t="str">
        <f>IF($O$79="нет","без дифференциации",IF($R$79=0,"",$R$79))</f>
        <v/>
      </c>
      <c r="AM79" s="728" t="str">
        <f>IF($S$79="нет","без дифференциации",IF($V$79=0,"",$V$79))</f>
        <v/>
      </c>
      <c r="AN79" s="728">
        <f>$I$79</f>
        <v>0</v>
      </c>
      <c r="AO79" s="728" t="str">
        <f>$I$79&amp;"."&amp;$M$79</f>
        <v>.</v>
      </c>
      <c r="AP79" s="728" t="str">
        <f>$I$79&amp;"."&amp;$M$79&amp;"."&amp;$Q$79</f>
        <v>..</v>
      </c>
      <c r="AQ79" s="728" t="str">
        <f>$I$79&amp;"."&amp;$M$79&amp;"."&amp;$Q$79&amp;"."&amp;$U$79</f>
        <v>...</v>
      </c>
      <c r="AR79" s="34">
        <v>0</v>
      </c>
    </row>
    <row r="80" spans="1:44" s="34" customFormat="1" ht="17.25" customHeight="1">
      <c r="A80" s="185"/>
      <c r="D80" s="1179"/>
      <c r="E80" s="1168"/>
      <c r="F80" s="1182"/>
      <c r="G80" s="1168"/>
      <c r="H80" s="1171"/>
      <c r="I80" s="1173"/>
      <c r="J80" s="1175"/>
      <c r="K80" s="1167"/>
      <c r="L80" s="1167"/>
      <c r="M80" s="1167"/>
      <c r="N80" s="1178"/>
      <c r="O80" s="1167"/>
      <c r="P80" s="1167"/>
      <c r="Q80" s="1167"/>
      <c r="R80" s="1165"/>
      <c r="S80" s="1167"/>
      <c r="T80" s="744"/>
      <c r="U80" s="744"/>
      <c r="V80" s="744"/>
      <c r="W80" s="745"/>
      <c r="Y80" s="16"/>
      <c r="Z80" s="16"/>
      <c r="AA80" s="16"/>
      <c r="AB80" s="16"/>
      <c r="AC80" s="16"/>
      <c r="AD80" s="16"/>
      <c r="AE80" s="16"/>
      <c r="AF80" s="16"/>
      <c r="AG80" s="16"/>
      <c r="AH80" s="16"/>
      <c r="AI80" s="16"/>
      <c r="AJ80" s="16"/>
      <c r="AK80" s="16"/>
      <c r="AL80" s="16"/>
      <c r="AM80" s="16"/>
      <c r="AN80" s="16"/>
      <c r="AO80" s="16"/>
      <c r="AP80" s="16"/>
      <c r="AQ80" s="16"/>
      <c r="AR80" s="34">
        <v>0</v>
      </c>
    </row>
    <row r="81" spans="1:44" s="34" customFormat="1" ht="17.25" customHeight="1">
      <c r="A81" s="185"/>
      <c r="C81" s="74"/>
      <c r="D81" s="1179"/>
      <c r="E81" s="1168"/>
      <c r="F81" s="1182"/>
      <c r="G81" s="1168"/>
      <c r="H81" s="1171"/>
      <c r="I81" s="1173"/>
      <c r="J81" s="1176"/>
      <c r="K81" s="1167"/>
      <c r="L81" s="1167"/>
      <c r="M81" s="1167"/>
      <c r="N81" s="1165"/>
      <c r="O81" s="1167"/>
      <c r="P81" s="53"/>
      <c r="Q81" s="744"/>
      <c r="R81" s="744"/>
      <c r="W81" s="745"/>
      <c r="Y81" s="728"/>
      <c r="Z81" s="728"/>
      <c r="AA81" s="728"/>
      <c r="AB81" s="728"/>
      <c r="AC81" s="728"/>
      <c r="AD81" s="728"/>
      <c r="AE81" s="728"/>
      <c r="AF81" s="728"/>
      <c r="AG81" s="728"/>
      <c r="AH81" s="728"/>
      <c r="AI81" s="728"/>
      <c r="AJ81" s="728"/>
      <c r="AK81" s="728"/>
      <c r="AL81" s="728"/>
      <c r="AM81" s="728"/>
      <c r="AN81" s="728"/>
      <c r="AO81" s="728"/>
      <c r="AP81" s="728"/>
      <c r="AQ81" s="728"/>
      <c r="AR81" s="34">
        <v>0</v>
      </c>
    </row>
    <row r="82" spans="1:44" s="34" customFormat="1" ht="17.25" customHeight="1">
      <c r="A82" s="185"/>
      <c r="D82" s="1179"/>
      <c r="E82" s="1168"/>
      <c r="F82" s="1182"/>
      <c r="G82" s="1168"/>
      <c r="H82" s="1171"/>
      <c r="I82" s="1173"/>
      <c r="J82" s="1176"/>
      <c r="K82" s="1167"/>
      <c r="L82" s="744"/>
      <c r="M82" s="744"/>
      <c r="N82" s="744"/>
      <c r="O82" s="744"/>
      <c r="P82" s="744"/>
      <c r="Q82" s="744"/>
      <c r="R82" s="744"/>
      <c r="W82" s="745"/>
      <c r="Y82" s="16"/>
      <c r="Z82" s="16"/>
      <c r="AA82" s="16"/>
      <c r="AB82" s="16"/>
      <c r="AC82" s="16"/>
      <c r="AD82" s="16"/>
      <c r="AE82" s="16"/>
      <c r="AF82" s="16"/>
      <c r="AG82" s="16"/>
      <c r="AH82" s="16"/>
      <c r="AI82" s="16"/>
      <c r="AJ82" s="16"/>
      <c r="AK82" s="16"/>
      <c r="AL82" s="16"/>
      <c r="AM82" s="16"/>
      <c r="AN82" s="16"/>
      <c r="AO82" s="16"/>
      <c r="AP82" s="16"/>
      <c r="AQ82" s="16"/>
      <c r="AR82" s="34">
        <v>0</v>
      </c>
    </row>
    <row r="83" spans="1:44" s="34" customFormat="1" ht="17.25" customHeight="1">
      <c r="A83" s="185"/>
      <c r="D83" s="1180"/>
      <c r="E83" s="1169"/>
      <c r="F83" s="1183"/>
      <c r="G83" s="1169"/>
      <c r="H83" s="746"/>
      <c r="I83" s="747"/>
      <c r="J83" s="747"/>
      <c r="K83" s="747"/>
      <c r="L83" s="747"/>
      <c r="M83" s="747"/>
      <c r="N83" s="747"/>
      <c r="O83" s="747"/>
      <c r="P83" s="747"/>
      <c r="Q83" s="747"/>
      <c r="R83" s="747"/>
      <c r="S83" s="748"/>
      <c r="T83" s="748"/>
      <c r="U83" s="748"/>
      <c r="V83" s="748"/>
      <c r="W83" s="749"/>
      <c r="Y83" s="16"/>
      <c r="Z83" s="16"/>
      <c r="AA83" s="16"/>
      <c r="AB83" s="16"/>
      <c r="AC83" s="16"/>
      <c r="AD83" s="16"/>
      <c r="AE83" s="16"/>
      <c r="AF83" s="16"/>
      <c r="AG83" s="16"/>
      <c r="AH83" s="16"/>
      <c r="AI83" s="16"/>
      <c r="AJ83" s="16"/>
      <c r="AK83" s="16"/>
      <c r="AL83" s="16"/>
      <c r="AM83" s="16"/>
      <c r="AN83" s="16"/>
      <c r="AO83" s="16"/>
      <c r="AP83" s="16"/>
      <c r="AQ83" s="16"/>
      <c r="AR83" s="34">
        <v>0</v>
      </c>
    </row>
    <row r="84" spans="1:44" s="34" customFormat="1" ht="17.25" customHeight="1">
      <c r="A84" s="185"/>
      <c r="C84" s="74"/>
      <c r="D84" s="1179">
        <v>2</v>
      </c>
      <c r="E84" s="1168" t="s">
        <v>225</v>
      </c>
      <c r="F84" s="1181" t="s">
        <v>64</v>
      </c>
      <c r="G84" s="1204" t="str">
        <f>INDEX(VD_NAME_LIST,MATCH("4189672",VD_ID_LIST,0))</f>
        <v>Холодное водоснабжение. Техническая вода</v>
      </c>
      <c r="H84" s="1209"/>
      <c r="I84" s="1209">
        <v>1</v>
      </c>
      <c r="J84" s="1210" t="s">
        <v>225</v>
      </c>
      <c r="K84" s="1212" t="s">
        <v>64</v>
      </c>
      <c r="L84" s="1157"/>
      <c r="M84" s="1157" t="s">
        <v>107</v>
      </c>
      <c r="N84" s="1206" t="str">
        <f>IF(Z84="","",INDEX(TERRITORY_MR_LIST,MATCH(Z84,TERRITORY_LIST_ID,0)))</f>
        <v>Территория 1</v>
      </c>
      <c r="O84" s="1212" t="s">
        <v>19</v>
      </c>
      <c r="P84" s="1157"/>
      <c r="Q84" s="1157" t="s">
        <v>107</v>
      </c>
      <c r="R84" s="1214" t="s">
        <v>28</v>
      </c>
      <c r="S84" s="1208" t="s">
        <v>19</v>
      </c>
      <c r="T84" s="814"/>
      <c r="U84" s="814" t="s">
        <v>107</v>
      </c>
      <c r="V84" s="807"/>
      <c r="W84" s="1210"/>
      <c r="X84" s="728"/>
      <c r="Y84" s="728"/>
      <c r="Z84" s="728" t="s">
        <v>96</v>
      </c>
      <c r="AA84" s="728"/>
      <c r="AB84" s="728" t="s">
        <v>226</v>
      </c>
      <c r="AC84" s="728" t="s">
        <v>227</v>
      </c>
      <c r="AD84" s="728" t="s">
        <v>228</v>
      </c>
      <c r="AE84" s="728" t="s">
        <v>229</v>
      </c>
      <c r="AF84" s="728" t="s">
        <v>230</v>
      </c>
      <c r="AG84" s="728"/>
      <c r="AH84" s="728" t="str">
        <f>IF($E$84=0,"",$E$84)</f>
        <v>Тариф на техническую воду</v>
      </c>
      <c r="AI84" s="728" t="str">
        <f>IF($G$84=0,"",$G$84)</f>
        <v>Холодное водоснабжение. Техническая вода</v>
      </c>
      <c r="AJ84" s="728" t="str">
        <f>IF($J$84=0,"",$J$84)</f>
        <v>Тариф на техническую воду</v>
      </c>
      <c r="AK84" s="728" t="str">
        <f>IF($K$84="нет","без дифференциации",IF($N$84=0,"",$N$84))</f>
        <v>Территория 1</v>
      </c>
      <c r="AL84" s="728" t="str">
        <f>IF($O$84="нет","без дифференциации",IF($R$84=0,"",$R$84))</f>
        <v>без дифференциации</v>
      </c>
      <c r="AM84" s="728" t="str">
        <f>IF($S$84="нет","без дифференциации",IF($V$84=0,"",$V$84))</f>
        <v>без дифференциации</v>
      </c>
      <c r="AN84" s="972">
        <f>$I$84</f>
        <v>1</v>
      </c>
      <c r="AO84" s="728" t="str">
        <f>$I$84&amp;"."&amp;$M$84</f>
        <v>1.1</v>
      </c>
      <c r="AP84" s="16" t="str">
        <f>$I$84&amp;"."&amp;$M$84&amp;"."&amp;$Q$84</f>
        <v>1.1.1</v>
      </c>
      <c r="AQ84" s="16" t="str">
        <f>$I$84&amp;"."&amp;$M$84&amp;"."&amp;$Q$84&amp;"."&amp;$U$84</f>
        <v>1.1.1.1</v>
      </c>
      <c r="AR84" s="34">
        <v>0</v>
      </c>
    </row>
    <row r="85" spans="1:44" s="34" customFormat="1" ht="17.25" customHeight="1">
      <c r="A85" s="185"/>
      <c r="D85" s="1179"/>
      <c r="E85" s="1168"/>
      <c r="F85" s="1182"/>
      <c r="G85" s="1204"/>
      <c r="H85" s="1209"/>
      <c r="I85" s="1209"/>
      <c r="J85" s="1210"/>
      <c r="K85" s="1213"/>
      <c r="L85" s="1157"/>
      <c r="M85" s="1157"/>
      <c r="N85" s="1206"/>
      <c r="O85" s="1213"/>
      <c r="P85" s="1157"/>
      <c r="Q85" s="1157"/>
      <c r="R85" s="1214" t="s">
        <v>28</v>
      </c>
      <c r="S85" s="1208"/>
      <c r="T85" s="808"/>
      <c r="U85" s="809"/>
      <c r="V85" s="809"/>
      <c r="W85" s="1210"/>
      <c r="X85" s="16"/>
      <c r="Y85" s="16"/>
      <c r="Z85" s="16"/>
      <c r="AA85" s="16"/>
      <c r="AB85" s="16"/>
      <c r="AC85" s="16"/>
      <c r="AD85" s="16"/>
      <c r="AE85" s="16"/>
      <c r="AF85" s="16"/>
      <c r="AG85" s="16"/>
      <c r="AH85" s="16"/>
      <c r="AI85" s="16"/>
      <c r="AJ85" s="16"/>
      <c r="AK85" s="16"/>
      <c r="AL85" s="16"/>
      <c r="AM85" s="16"/>
      <c r="AN85" s="16"/>
      <c r="AO85" s="16"/>
      <c r="AP85" s="16"/>
      <c r="AQ85" s="16"/>
      <c r="AR85" s="34">
        <v>0</v>
      </c>
    </row>
    <row r="86" spans="1:44" s="34" customFormat="1" ht="17.25" customHeight="1">
      <c r="A86" s="185"/>
      <c r="D86" s="1180"/>
      <c r="E86" s="1169"/>
      <c r="F86" s="1182"/>
      <c r="G86" s="1205"/>
      <c r="H86" s="1180"/>
      <c r="I86" s="1180"/>
      <c r="J86" s="1211"/>
      <c r="K86" s="1213"/>
      <c r="L86" s="1180"/>
      <c r="M86" s="1180"/>
      <c r="N86" s="1207"/>
      <c r="O86" s="1161"/>
      <c r="P86" s="182"/>
      <c r="Q86" s="183"/>
      <c r="R86" s="183" t="s">
        <v>231</v>
      </c>
      <c r="S86" s="997"/>
      <c r="T86" s="997"/>
      <c r="U86" s="997"/>
      <c r="V86" s="997"/>
      <c r="W86" s="806"/>
      <c r="X86" s="16"/>
      <c r="Y86" s="16"/>
      <c r="Z86" s="16"/>
      <c r="AA86" s="16"/>
      <c r="AB86" s="16"/>
      <c r="AC86" s="16"/>
      <c r="AD86" s="16"/>
      <c r="AE86" s="16"/>
      <c r="AF86" s="16"/>
      <c r="AG86" s="16"/>
      <c r="AH86" s="16"/>
      <c r="AI86" s="16"/>
      <c r="AJ86" s="16"/>
      <c r="AK86" s="16"/>
      <c r="AL86" s="16"/>
      <c r="AM86" s="16"/>
      <c r="AN86" s="16"/>
      <c r="AO86" s="16"/>
      <c r="AP86" s="16"/>
      <c r="AQ86" s="16"/>
      <c r="AR86" s="34">
        <v>0</v>
      </c>
    </row>
    <row r="87" spans="1:44" s="34" customFormat="1" ht="17.25" customHeight="1">
      <c r="A87" s="185"/>
      <c r="D87" s="1180"/>
      <c r="E87" s="1169"/>
      <c r="F87" s="1182"/>
      <c r="G87" s="1205"/>
      <c r="H87" s="1180"/>
      <c r="I87" s="1180"/>
      <c r="J87" s="1211"/>
      <c r="K87" s="1161"/>
      <c r="L87" s="182"/>
      <c r="M87" s="183"/>
      <c r="N87" s="183" t="s">
        <v>232</v>
      </c>
      <c r="O87" s="183"/>
      <c r="P87" s="183"/>
      <c r="Q87" s="183"/>
      <c r="R87" s="183"/>
      <c r="S87" s="997"/>
      <c r="T87" s="997"/>
      <c r="U87" s="997"/>
      <c r="V87" s="997"/>
      <c r="W87" s="184"/>
      <c r="X87" s="16"/>
      <c r="Y87" s="16"/>
      <c r="Z87" s="16"/>
      <c r="AA87" s="16"/>
      <c r="AB87" s="16"/>
      <c r="AC87" s="16"/>
      <c r="AD87" s="16"/>
      <c r="AE87" s="16"/>
      <c r="AF87" s="16"/>
      <c r="AG87" s="16"/>
      <c r="AH87" s="16"/>
      <c r="AI87" s="16"/>
      <c r="AJ87" s="16"/>
      <c r="AK87" s="16"/>
      <c r="AL87" s="16"/>
      <c r="AM87" s="16"/>
      <c r="AN87" s="16"/>
      <c r="AO87" s="16"/>
      <c r="AP87" s="16"/>
      <c r="AQ87" s="16"/>
      <c r="AR87" s="34">
        <v>0</v>
      </c>
    </row>
    <row r="88" spans="1:44" s="34" customFormat="1" ht="17.25" customHeight="1">
      <c r="A88" s="185"/>
      <c r="D88" s="1180"/>
      <c r="E88" s="1169"/>
      <c r="F88" s="1183"/>
      <c r="G88" s="1205"/>
      <c r="H88" s="182"/>
      <c r="I88" s="183"/>
      <c r="J88" s="183" t="s">
        <v>233</v>
      </c>
      <c r="K88" s="183"/>
      <c r="L88" s="183"/>
      <c r="M88" s="183"/>
      <c r="N88" s="183"/>
      <c r="O88" s="183"/>
      <c r="P88" s="183"/>
      <c r="Q88" s="183"/>
      <c r="R88" s="183"/>
      <c r="S88" s="997"/>
      <c r="T88" s="997"/>
      <c r="U88" s="997"/>
      <c r="V88" s="997"/>
      <c r="W88" s="184"/>
      <c r="X88" s="16"/>
      <c r="Y88" s="16"/>
      <c r="Z88" s="16"/>
      <c r="AA88" s="16"/>
      <c r="AB88" s="16"/>
      <c r="AC88" s="16"/>
      <c r="AD88" s="16"/>
      <c r="AE88" s="16"/>
      <c r="AF88" s="16"/>
      <c r="AG88" s="16"/>
      <c r="AH88" s="16"/>
      <c r="AI88" s="16"/>
      <c r="AJ88" s="16"/>
      <c r="AK88" s="16"/>
      <c r="AL88" s="16"/>
      <c r="AM88" s="16"/>
      <c r="AN88" s="16"/>
      <c r="AO88" s="16"/>
      <c r="AP88" s="16"/>
      <c r="AQ88" s="16"/>
      <c r="AR88" s="34">
        <v>0</v>
      </c>
    </row>
    <row r="89" spans="1:44" s="34" customFormat="1" ht="17.25" customHeight="1">
      <c r="A89" s="185"/>
      <c r="C89" s="74"/>
      <c r="D89" s="1179">
        <v>3</v>
      </c>
      <c r="E89" s="1168" t="s">
        <v>234</v>
      </c>
      <c r="F89" s="1181" t="s">
        <v>19</v>
      </c>
      <c r="G89" s="1168"/>
      <c r="H89" s="1170"/>
      <c r="I89" s="1172"/>
      <c r="J89" s="1174"/>
      <c r="K89" s="1166"/>
      <c r="L89" s="1166"/>
      <c r="M89" s="1166"/>
      <c r="N89" s="1177"/>
      <c r="O89" s="1166"/>
      <c r="P89" s="1166"/>
      <c r="Q89" s="1166"/>
      <c r="R89" s="1164"/>
      <c r="S89" s="1166"/>
      <c r="T89" s="801"/>
      <c r="U89" s="801"/>
      <c r="V89" s="800"/>
      <c r="W89" s="743"/>
      <c r="X89" s="728"/>
      <c r="Y89" s="728"/>
      <c r="Z89" s="728"/>
      <c r="AA89" s="728"/>
      <c r="AB89" s="728"/>
      <c r="AC89" s="728" t="s">
        <v>235</v>
      </c>
      <c r="AD89" s="728" t="s">
        <v>236</v>
      </c>
      <c r="AE89" s="728" t="s">
        <v>237</v>
      </c>
      <c r="AF89" s="728" t="s">
        <v>238</v>
      </c>
      <c r="AG89" s="728"/>
      <c r="AH89" s="728" t="str">
        <f>IF($E$89=0,"",$E$89)</f>
        <v>Тариф на транспортировку воды</v>
      </c>
      <c r="AI89" s="728" t="str">
        <f>IF($G$89=0,"",$G$89)</f>
        <v/>
      </c>
      <c r="AJ89" s="728" t="str">
        <f>IF($J$89=0,"",$J$89)</f>
        <v/>
      </c>
      <c r="AK89" s="728" t="str">
        <f>IF($K$89="нет","без дифференциации",IF($N$89=0,"",$N$89))</f>
        <v/>
      </c>
      <c r="AL89" s="728" t="str">
        <f>IF($O$89="нет","без дифференциации",IF($R$89=0,"",$R$89))</f>
        <v/>
      </c>
      <c r="AM89" s="728" t="str">
        <f>IF($S$89="нет","без дифференциации",IF($V$89=0,"",$V$89))</f>
        <v/>
      </c>
      <c r="AN89" s="972">
        <f>$I$89</f>
        <v>0</v>
      </c>
      <c r="AO89" s="728" t="str">
        <f>$I$89&amp;"."&amp;$M$89</f>
        <v>.</v>
      </c>
      <c r="AP89" s="16" t="str">
        <f>$I$89&amp;"."&amp;$M$89&amp;"."&amp;$Q$89</f>
        <v>..</v>
      </c>
      <c r="AQ89" s="16" t="str">
        <f>$I$89&amp;"."&amp;$M$89&amp;"."&amp;$Q$89&amp;"."&amp;$U$89</f>
        <v>...</v>
      </c>
      <c r="AR89" s="34">
        <v>0</v>
      </c>
    </row>
    <row r="90" spans="1:44" s="34" customFormat="1" ht="17.25" customHeight="1">
      <c r="A90" s="185"/>
      <c r="D90" s="1179"/>
      <c r="E90" s="1168"/>
      <c r="F90" s="1182"/>
      <c r="G90" s="1168"/>
      <c r="H90" s="1171"/>
      <c r="I90" s="1173"/>
      <c r="J90" s="1175"/>
      <c r="K90" s="1167"/>
      <c r="L90" s="1167"/>
      <c r="M90" s="1167"/>
      <c r="N90" s="1178"/>
      <c r="O90" s="1167"/>
      <c r="P90" s="1167"/>
      <c r="Q90" s="1167"/>
      <c r="R90" s="1165"/>
      <c r="S90" s="1167"/>
      <c r="T90" s="744"/>
      <c r="U90" s="744"/>
      <c r="V90" s="744"/>
      <c r="W90" s="745"/>
      <c r="X90" s="16"/>
      <c r="Y90" s="16"/>
      <c r="Z90" s="16"/>
      <c r="AA90" s="16"/>
      <c r="AB90" s="16"/>
      <c r="AC90" s="16"/>
      <c r="AD90" s="16"/>
      <c r="AE90" s="16"/>
      <c r="AF90" s="16"/>
      <c r="AG90" s="16"/>
      <c r="AH90" s="16"/>
      <c r="AI90" s="16"/>
      <c r="AJ90" s="16"/>
      <c r="AK90" s="16"/>
      <c r="AL90" s="16"/>
      <c r="AM90" s="16"/>
      <c r="AN90" s="16"/>
      <c r="AO90" s="16"/>
      <c r="AP90" s="16"/>
      <c r="AQ90" s="16"/>
      <c r="AR90" s="34">
        <v>0</v>
      </c>
    </row>
    <row r="91" spans="1:44" s="34" customFormat="1" ht="17.25" customHeight="1">
      <c r="A91" s="185"/>
      <c r="D91" s="1180"/>
      <c r="E91" s="1169"/>
      <c r="F91" s="1182"/>
      <c r="G91" s="1169"/>
      <c r="H91" s="1171"/>
      <c r="I91" s="1173"/>
      <c r="J91" s="1176"/>
      <c r="K91" s="1167"/>
      <c r="L91" s="1167"/>
      <c r="M91" s="1167"/>
      <c r="N91" s="1165"/>
      <c r="O91" s="1167"/>
      <c r="P91" s="53"/>
      <c r="Q91" s="744"/>
      <c r="R91" s="744"/>
      <c r="W91" s="745"/>
      <c r="X91" s="16"/>
      <c r="Y91" s="16"/>
      <c r="Z91" s="16"/>
      <c r="AA91" s="16"/>
      <c r="AB91" s="16"/>
      <c r="AC91" s="16"/>
      <c r="AD91" s="16"/>
      <c r="AE91" s="16"/>
      <c r="AF91" s="16"/>
      <c r="AG91" s="16"/>
      <c r="AH91" s="16"/>
      <c r="AI91" s="16"/>
      <c r="AJ91" s="16"/>
      <c r="AK91" s="16"/>
      <c r="AL91" s="16"/>
      <c r="AM91" s="16"/>
      <c r="AN91" s="16"/>
      <c r="AO91" s="16"/>
      <c r="AP91" s="16"/>
      <c r="AQ91" s="16"/>
      <c r="AR91" s="34">
        <v>0</v>
      </c>
    </row>
    <row r="92" spans="1:44" s="34" customFormat="1" ht="17.25" customHeight="1">
      <c r="A92" s="185"/>
      <c r="D92" s="1180"/>
      <c r="E92" s="1169"/>
      <c r="F92" s="1182"/>
      <c r="G92" s="1169"/>
      <c r="H92" s="1171"/>
      <c r="I92" s="1173"/>
      <c r="J92" s="1176"/>
      <c r="K92" s="1167"/>
      <c r="L92" s="744"/>
      <c r="M92" s="744"/>
      <c r="N92" s="744"/>
      <c r="O92" s="744"/>
      <c r="P92" s="744"/>
      <c r="Q92" s="744"/>
      <c r="R92" s="744"/>
      <c r="W92" s="745"/>
      <c r="X92" s="16"/>
      <c r="Y92" s="16"/>
      <c r="Z92" s="16"/>
      <c r="AA92" s="16"/>
      <c r="AB92" s="16"/>
      <c r="AC92" s="16"/>
      <c r="AD92" s="16"/>
      <c r="AE92" s="16"/>
      <c r="AF92" s="16"/>
      <c r="AG92" s="16"/>
      <c r="AH92" s="16"/>
      <c r="AI92" s="16"/>
      <c r="AJ92" s="16"/>
      <c r="AK92" s="16"/>
      <c r="AL92" s="16"/>
      <c r="AM92" s="16"/>
      <c r="AN92" s="16"/>
      <c r="AO92" s="16"/>
      <c r="AP92" s="16"/>
      <c r="AQ92" s="16"/>
      <c r="AR92" s="34">
        <v>0</v>
      </c>
    </row>
    <row r="93" spans="1:44" s="34" customFormat="1" ht="17.25" customHeight="1">
      <c r="A93" s="185"/>
      <c r="D93" s="1180"/>
      <c r="E93" s="1169"/>
      <c r="F93" s="1183"/>
      <c r="G93" s="1169"/>
      <c r="H93" s="746"/>
      <c r="I93" s="747"/>
      <c r="J93" s="747"/>
      <c r="K93" s="747"/>
      <c r="L93" s="747"/>
      <c r="M93" s="747"/>
      <c r="N93" s="747"/>
      <c r="O93" s="747"/>
      <c r="P93" s="747"/>
      <c r="Q93" s="747"/>
      <c r="R93" s="747"/>
      <c r="S93" s="748"/>
      <c r="T93" s="748"/>
      <c r="U93" s="748"/>
      <c r="V93" s="748"/>
      <c r="W93" s="749"/>
      <c r="X93" s="16"/>
      <c r="Y93" s="16"/>
      <c r="Z93" s="16"/>
      <c r="AA93" s="16"/>
      <c r="AB93" s="16"/>
      <c r="AC93" s="16"/>
      <c r="AD93" s="16"/>
      <c r="AE93" s="16"/>
      <c r="AF93" s="16"/>
      <c r="AG93" s="16"/>
      <c r="AH93" s="16"/>
      <c r="AI93" s="16"/>
      <c r="AJ93" s="16"/>
      <c r="AK93" s="16"/>
      <c r="AL93" s="16"/>
      <c r="AM93" s="16"/>
      <c r="AN93" s="16"/>
      <c r="AO93" s="16"/>
      <c r="AP93" s="16"/>
      <c r="AQ93" s="16"/>
      <c r="AR93" s="34">
        <v>0</v>
      </c>
    </row>
    <row r="94" spans="1:44" s="34" customFormat="1" ht="17.25" customHeight="1">
      <c r="A94" s="185"/>
      <c r="C94" s="74"/>
      <c r="D94" s="1179">
        <v>4</v>
      </c>
      <c r="E94" s="1168" t="s">
        <v>239</v>
      </c>
      <c r="F94" s="1181" t="s">
        <v>19</v>
      </c>
      <c r="G94" s="1168"/>
      <c r="H94" s="1170"/>
      <c r="I94" s="1172"/>
      <c r="J94" s="1174"/>
      <c r="K94" s="1166"/>
      <c r="L94" s="1166"/>
      <c r="M94" s="1166"/>
      <c r="N94" s="1177"/>
      <c r="O94" s="1166"/>
      <c r="P94" s="1166"/>
      <c r="Q94" s="1166"/>
      <c r="R94" s="1164"/>
      <c r="S94" s="1166"/>
      <c r="T94" s="801"/>
      <c r="U94" s="801"/>
      <c r="V94" s="800"/>
      <c r="W94" s="743"/>
      <c r="X94" s="728"/>
      <c r="Y94" s="728"/>
      <c r="Z94" s="728"/>
      <c r="AA94" s="728"/>
      <c r="AB94" s="728"/>
      <c r="AC94" s="728" t="s">
        <v>240</v>
      </c>
      <c r="AD94" s="728" t="s">
        <v>241</v>
      </c>
      <c r="AE94" s="728" t="s">
        <v>242</v>
      </c>
      <c r="AF94" s="728" t="s">
        <v>243</v>
      </c>
      <c r="AG94" s="728"/>
      <c r="AH94" s="728" t="str">
        <f>IF($E$94=0,"",$E$94)</f>
        <v>Тариф на подвоз воды</v>
      </c>
      <c r="AI94" s="728" t="str">
        <f>IF($G$94=0,"",$G$94)</f>
        <v/>
      </c>
      <c r="AJ94" s="728" t="str">
        <f>IF($J$94=0,"",$J$94)</f>
        <v/>
      </c>
      <c r="AK94" s="728" t="str">
        <f>IF($K$94="нет","без дифференциации",IF($N$94=0,"",$N$94))</f>
        <v/>
      </c>
      <c r="AL94" s="728" t="str">
        <f>IF($O$94="нет","без дифференциации",IF($R$94=0,"",$R$94))</f>
        <v/>
      </c>
      <c r="AM94" s="728" t="str">
        <f>IF($S$94="нет","без дифференциации",IF($V$94=0,"",$V$94))</f>
        <v/>
      </c>
      <c r="AN94" s="972">
        <f>$I$94</f>
        <v>0</v>
      </c>
      <c r="AO94" s="728" t="str">
        <f>$I$94&amp;"."&amp;$M$94</f>
        <v>.</v>
      </c>
      <c r="AP94" s="16" t="str">
        <f>$I$94&amp;"."&amp;$M$94&amp;"."&amp;$Q$94</f>
        <v>..</v>
      </c>
      <c r="AQ94" s="16" t="str">
        <f>$I$94&amp;"."&amp;$M$94&amp;"."&amp;$Q$94&amp;"."&amp;$U$94</f>
        <v>...</v>
      </c>
      <c r="AR94" s="34">
        <v>0</v>
      </c>
    </row>
    <row r="95" spans="1:44" s="34" customFormat="1" ht="17.25" customHeight="1">
      <c r="A95" s="185"/>
      <c r="D95" s="1179"/>
      <c r="E95" s="1168"/>
      <c r="F95" s="1182"/>
      <c r="G95" s="1168"/>
      <c r="H95" s="1171"/>
      <c r="I95" s="1173"/>
      <c r="J95" s="1175"/>
      <c r="K95" s="1167"/>
      <c r="L95" s="1167"/>
      <c r="M95" s="1167"/>
      <c r="N95" s="1178"/>
      <c r="O95" s="1167"/>
      <c r="P95" s="1167"/>
      <c r="Q95" s="1167"/>
      <c r="R95" s="1165"/>
      <c r="S95" s="1167"/>
      <c r="T95" s="744"/>
      <c r="U95" s="744"/>
      <c r="V95" s="744"/>
      <c r="W95" s="745"/>
      <c r="X95" s="16"/>
      <c r="Y95" s="16"/>
      <c r="Z95" s="16"/>
      <c r="AA95" s="16"/>
      <c r="AB95" s="16"/>
      <c r="AC95" s="16"/>
      <c r="AD95" s="16"/>
      <c r="AE95" s="16"/>
      <c r="AF95" s="16"/>
      <c r="AG95" s="16"/>
      <c r="AH95" s="16"/>
      <c r="AI95" s="16"/>
      <c r="AJ95" s="16"/>
      <c r="AK95" s="16"/>
      <c r="AL95" s="16"/>
      <c r="AM95" s="16"/>
      <c r="AN95" s="16"/>
      <c r="AO95" s="16"/>
      <c r="AP95" s="16"/>
      <c r="AQ95" s="16"/>
      <c r="AR95" s="34">
        <v>0</v>
      </c>
    </row>
    <row r="96" spans="1:44" s="34" customFormat="1" ht="17.25" customHeight="1">
      <c r="A96" s="185"/>
      <c r="D96" s="1180"/>
      <c r="E96" s="1169"/>
      <c r="F96" s="1182"/>
      <c r="G96" s="1169"/>
      <c r="H96" s="1171"/>
      <c r="I96" s="1173"/>
      <c r="J96" s="1176"/>
      <c r="K96" s="1167"/>
      <c r="L96" s="1167"/>
      <c r="M96" s="1167"/>
      <c r="N96" s="1165"/>
      <c r="O96" s="1167"/>
      <c r="P96" s="53"/>
      <c r="Q96" s="744"/>
      <c r="R96" s="744"/>
      <c r="W96" s="745"/>
      <c r="X96" s="16"/>
      <c r="Y96" s="16"/>
      <c r="Z96" s="16"/>
      <c r="AA96" s="16"/>
      <c r="AB96" s="16"/>
      <c r="AC96" s="16"/>
      <c r="AD96" s="16"/>
      <c r="AE96" s="16"/>
      <c r="AF96" s="16"/>
      <c r="AG96" s="16"/>
      <c r="AH96" s="16"/>
      <c r="AI96" s="16"/>
      <c r="AJ96" s="16"/>
      <c r="AK96" s="16"/>
      <c r="AL96" s="16"/>
      <c r="AM96" s="16"/>
      <c r="AN96" s="16"/>
      <c r="AO96" s="16"/>
      <c r="AP96" s="16"/>
      <c r="AQ96" s="16"/>
      <c r="AR96" s="34">
        <v>0</v>
      </c>
    </row>
    <row r="97" spans="1:44" s="34" customFormat="1" ht="17.25" customHeight="1">
      <c r="A97" s="185"/>
      <c r="D97" s="1180"/>
      <c r="E97" s="1169"/>
      <c r="F97" s="1182"/>
      <c r="G97" s="1169"/>
      <c r="H97" s="1171"/>
      <c r="I97" s="1173"/>
      <c r="J97" s="1176"/>
      <c r="K97" s="1167"/>
      <c r="L97" s="744"/>
      <c r="M97" s="744"/>
      <c r="N97" s="744"/>
      <c r="O97" s="744"/>
      <c r="P97" s="744"/>
      <c r="Q97" s="744"/>
      <c r="R97" s="744"/>
      <c r="W97" s="745"/>
      <c r="X97" s="16"/>
      <c r="Y97" s="16"/>
      <c r="Z97" s="16"/>
      <c r="AA97" s="16"/>
      <c r="AB97" s="16"/>
      <c r="AC97" s="16"/>
      <c r="AD97" s="16"/>
      <c r="AE97" s="16"/>
      <c r="AF97" s="16"/>
      <c r="AG97" s="16"/>
      <c r="AH97" s="16"/>
      <c r="AI97" s="16"/>
      <c r="AJ97" s="16"/>
      <c r="AK97" s="16"/>
      <c r="AL97" s="16"/>
      <c r="AM97" s="16"/>
      <c r="AN97" s="16"/>
      <c r="AO97" s="16"/>
      <c r="AP97" s="16"/>
      <c r="AQ97" s="16"/>
      <c r="AR97" s="34">
        <v>0</v>
      </c>
    </row>
    <row r="98" spans="1:44" s="34" customFormat="1" ht="17.25" customHeight="1">
      <c r="A98" s="185"/>
      <c r="D98" s="1180"/>
      <c r="E98" s="1169"/>
      <c r="F98" s="1183"/>
      <c r="G98" s="1169"/>
      <c r="H98" s="746"/>
      <c r="I98" s="747"/>
      <c r="J98" s="747"/>
      <c r="K98" s="747"/>
      <c r="L98" s="747"/>
      <c r="M98" s="747"/>
      <c r="N98" s="747"/>
      <c r="O98" s="747"/>
      <c r="P98" s="747"/>
      <c r="Q98" s="747"/>
      <c r="R98" s="747"/>
      <c r="S98" s="748"/>
      <c r="T98" s="748"/>
      <c r="U98" s="748"/>
      <c r="V98" s="748"/>
      <c r="W98" s="749"/>
      <c r="X98" s="16"/>
      <c r="Y98" s="16"/>
      <c r="Z98" s="16"/>
      <c r="AA98" s="16"/>
      <c r="AB98" s="16"/>
      <c r="AC98" s="16"/>
      <c r="AD98" s="16"/>
      <c r="AE98" s="16"/>
      <c r="AF98" s="16"/>
      <c r="AG98" s="16"/>
      <c r="AH98" s="16"/>
      <c r="AI98" s="16"/>
      <c r="AJ98" s="16"/>
      <c r="AK98" s="16"/>
      <c r="AL98" s="16"/>
      <c r="AM98" s="16"/>
      <c r="AN98" s="16"/>
      <c r="AO98" s="16"/>
      <c r="AP98" s="16"/>
      <c r="AQ98" s="16"/>
      <c r="AR98" s="34">
        <v>0</v>
      </c>
    </row>
    <row r="99" spans="1:44" s="34" customFormat="1" ht="17.25" customHeight="1">
      <c r="A99" s="185"/>
      <c r="C99" s="74"/>
      <c r="D99" s="1179">
        <v>5</v>
      </c>
      <c r="E99" s="1168" t="s">
        <v>244</v>
      </c>
      <c r="F99" s="1181" t="s">
        <v>19</v>
      </c>
      <c r="G99" s="1168"/>
      <c r="H99" s="1170"/>
      <c r="I99" s="1172"/>
      <c r="J99" s="1174"/>
      <c r="K99" s="1166"/>
      <c r="L99" s="1166"/>
      <c r="M99" s="1166"/>
      <c r="N99" s="1177"/>
      <c r="O99" s="1166"/>
      <c r="P99" s="1166"/>
      <c r="Q99" s="1166"/>
      <c r="R99" s="1164"/>
      <c r="S99" s="1166"/>
      <c r="T99" s="801"/>
      <c r="U99" s="801"/>
      <c r="V99" s="800"/>
      <c r="W99" s="743"/>
      <c r="X99" s="728"/>
      <c r="Y99" s="728"/>
      <c r="Z99" s="728"/>
      <c r="AA99" s="728"/>
      <c r="AB99" s="728"/>
      <c r="AC99" s="728" t="s">
        <v>245</v>
      </c>
      <c r="AD99" s="728" t="s">
        <v>246</v>
      </c>
      <c r="AE99" s="728" t="s">
        <v>247</v>
      </c>
      <c r="AF99" s="728" t="s">
        <v>248</v>
      </c>
      <c r="AG99" s="728"/>
      <c r="AH99" s="728" t="str">
        <f>IF($E$99=0,"",$E$99)</f>
        <v>Тариф на подключение (технологическое присоединение) к централизованной системе холодного водоснабжения</v>
      </c>
      <c r="AI99" s="728" t="str">
        <f>IF($G$99=0,"",$G$99)</f>
        <v/>
      </c>
      <c r="AJ99" s="728" t="str">
        <f>IF($J$99=0,"",$J$99)</f>
        <v/>
      </c>
      <c r="AK99" s="728" t="str">
        <f>IF($K$99="нет","без дифференциации",IF($N$99=0,"",$N$99))</f>
        <v/>
      </c>
      <c r="AL99" s="728" t="str">
        <f>IF($O$99="нет","без дифференциации",IF($R$99=0,"",$R$99))</f>
        <v/>
      </c>
      <c r="AM99" s="728" t="str">
        <f>IF($S$99="нет","без дифференциации",IF($V$99=0,"",$V$99))</f>
        <v/>
      </c>
      <c r="AN99" s="972">
        <f>$I$99</f>
        <v>0</v>
      </c>
      <c r="AO99" s="728" t="str">
        <f>$I$99&amp;"."&amp;$M$99</f>
        <v>.</v>
      </c>
      <c r="AP99" s="16" t="str">
        <f>$I$99&amp;"."&amp;$M$99&amp;"."&amp;$Q$99</f>
        <v>..</v>
      </c>
      <c r="AQ99" s="16" t="str">
        <f>$I$99&amp;"."&amp;$M$99&amp;"."&amp;$Q$99&amp;"."&amp;$U$99</f>
        <v>...</v>
      </c>
      <c r="AR99" s="34">
        <v>0</v>
      </c>
    </row>
    <row r="100" spans="1:44" s="34" customFormat="1" ht="17.25" customHeight="1">
      <c r="A100" s="185"/>
      <c r="D100" s="1179"/>
      <c r="E100" s="1168"/>
      <c r="F100" s="1182"/>
      <c r="G100" s="1168"/>
      <c r="H100" s="1171"/>
      <c r="I100" s="1173"/>
      <c r="J100" s="1175"/>
      <c r="K100" s="1167"/>
      <c r="L100" s="1167"/>
      <c r="M100" s="1167"/>
      <c r="N100" s="1178"/>
      <c r="O100" s="1167"/>
      <c r="P100" s="1167"/>
      <c r="Q100" s="1167"/>
      <c r="R100" s="1165"/>
      <c r="S100" s="1167"/>
      <c r="T100" s="744"/>
      <c r="U100" s="744"/>
      <c r="V100" s="744"/>
      <c r="W100" s="745"/>
      <c r="X100" s="16"/>
      <c r="Y100" s="16"/>
      <c r="Z100" s="16"/>
      <c r="AA100" s="16"/>
      <c r="AB100" s="16"/>
      <c r="AC100" s="16"/>
      <c r="AD100" s="16"/>
      <c r="AE100" s="16"/>
      <c r="AF100" s="16"/>
      <c r="AG100" s="16"/>
      <c r="AH100" s="16"/>
      <c r="AI100" s="16"/>
      <c r="AJ100" s="16"/>
      <c r="AK100" s="16"/>
      <c r="AL100" s="16"/>
      <c r="AM100" s="16"/>
      <c r="AN100" s="16"/>
      <c r="AO100" s="16"/>
      <c r="AP100" s="16"/>
      <c r="AQ100" s="16"/>
      <c r="AR100" s="34">
        <v>0</v>
      </c>
    </row>
    <row r="101" spans="1:44" s="34" customFormat="1" ht="17.25" customHeight="1">
      <c r="A101" s="185"/>
      <c r="D101" s="1180"/>
      <c r="E101" s="1169"/>
      <c r="F101" s="1182"/>
      <c r="G101" s="1169"/>
      <c r="H101" s="1171"/>
      <c r="I101" s="1173"/>
      <c r="J101" s="1176"/>
      <c r="K101" s="1167"/>
      <c r="L101" s="1167"/>
      <c r="M101" s="1167"/>
      <c r="N101" s="1165"/>
      <c r="O101" s="1167"/>
      <c r="P101" s="53"/>
      <c r="Q101" s="744"/>
      <c r="R101" s="744"/>
      <c r="W101" s="745"/>
      <c r="X101" s="16"/>
      <c r="Y101" s="16"/>
      <c r="Z101" s="16"/>
      <c r="AA101" s="16"/>
      <c r="AB101" s="16"/>
      <c r="AC101" s="16"/>
      <c r="AD101" s="16"/>
      <c r="AE101" s="16"/>
      <c r="AF101" s="16"/>
      <c r="AG101" s="16"/>
      <c r="AH101" s="16"/>
      <c r="AI101" s="16"/>
      <c r="AJ101" s="16"/>
      <c r="AK101" s="16"/>
      <c r="AL101" s="16"/>
      <c r="AM101" s="16"/>
      <c r="AN101" s="16"/>
      <c r="AO101" s="16"/>
      <c r="AP101" s="16"/>
      <c r="AQ101" s="16"/>
      <c r="AR101" s="34">
        <v>0</v>
      </c>
    </row>
    <row r="102" spans="1:44" s="34" customFormat="1" ht="17.25" customHeight="1">
      <c r="A102" s="185"/>
      <c r="D102" s="1180"/>
      <c r="E102" s="1169"/>
      <c r="F102" s="1182"/>
      <c r="G102" s="1169"/>
      <c r="H102" s="1171"/>
      <c r="I102" s="1173"/>
      <c r="J102" s="1176"/>
      <c r="K102" s="1167"/>
      <c r="L102" s="744"/>
      <c r="M102" s="744"/>
      <c r="N102" s="744"/>
      <c r="O102" s="744"/>
      <c r="P102" s="744"/>
      <c r="Q102" s="744"/>
      <c r="R102" s="744"/>
      <c r="W102" s="745"/>
      <c r="X102" s="16"/>
      <c r="Y102" s="16"/>
      <c r="Z102" s="16"/>
      <c r="AA102" s="16"/>
      <c r="AB102" s="16"/>
      <c r="AC102" s="16"/>
      <c r="AD102" s="16"/>
      <c r="AE102" s="16"/>
      <c r="AF102" s="16"/>
      <c r="AG102" s="16"/>
      <c r="AH102" s="16"/>
      <c r="AI102" s="16"/>
      <c r="AJ102" s="16"/>
      <c r="AK102" s="16"/>
      <c r="AL102" s="16"/>
      <c r="AM102" s="16"/>
      <c r="AN102" s="16"/>
      <c r="AO102" s="16"/>
      <c r="AP102" s="16"/>
      <c r="AQ102" s="16"/>
      <c r="AR102" s="34">
        <v>0</v>
      </c>
    </row>
    <row r="103" spans="1:44" s="34" customFormat="1" ht="17.25" customHeight="1">
      <c r="A103" s="185"/>
      <c r="D103" s="1180"/>
      <c r="E103" s="1169"/>
      <c r="F103" s="1183"/>
      <c r="G103" s="1169"/>
      <c r="H103" s="746"/>
      <c r="I103" s="747"/>
      <c r="J103" s="747"/>
      <c r="K103" s="747"/>
      <c r="L103" s="747"/>
      <c r="M103" s="747"/>
      <c r="N103" s="747"/>
      <c r="O103" s="747"/>
      <c r="P103" s="747"/>
      <c r="Q103" s="747"/>
      <c r="R103" s="747"/>
      <c r="S103" s="748"/>
      <c r="T103" s="748"/>
      <c r="U103" s="748"/>
      <c r="V103" s="748"/>
      <c r="W103" s="749"/>
      <c r="X103" s="16"/>
      <c r="Y103" s="16"/>
      <c r="Z103" s="16"/>
      <c r="AA103" s="16"/>
      <c r="AB103" s="16"/>
      <c r="AC103" s="16"/>
      <c r="AD103" s="16"/>
      <c r="AE103" s="16"/>
      <c r="AF103" s="16"/>
      <c r="AG103" s="16"/>
      <c r="AH103" s="16"/>
      <c r="AI103" s="16"/>
      <c r="AJ103" s="16"/>
      <c r="AK103" s="16"/>
      <c r="AL103" s="16"/>
      <c r="AM103" s="16"/>
      <c r="AN103" s="16"/>
      <c r="AO103" s="16"/>
      <c r="AP103" s="16"/>
      <c r="AQ103" s="16"/>
      <c r="AR103" s="34">
        <v>0</v>
      </c>
    </row>
    <row r="104" spans="1:44" s="34" customFormat="1" ht="11.25" hidden="1" customHeight="1">
      <c r="A104" s="66"/>
      <c r="B104" s="66"/>
      <c r="Y104" s="16"/>
      <c r="Z104" s="16"/>
      <c r="AA104" s="16"/>
      <c r="AB104" s="16"/>
      <c r="AC104" s="16"/>
      <c r="AD104" s="16"/>
      <c r="AE104" s="16"/>
      <c r="AF104" s="16"/>
      <c r="AG104" s="16"/>
      <c r="AH104" s="16"/>
      <c r="AI104" s="16"/>
      <c r="AJ104" s="16"/>
      <c r="AK104" s="16"/>
      <c r="AL104" s="16"/>
      <c r="AM104" s="16"/>
      <c r="AN104" s="16"/>
      <c r="AO104" s="16"/>
      <c r="AP104" s="16"/>
      <c r="AQ104" s="16"/>
      <c r="AR104" s="34">
        <v>0</v>
      </c>
    </row>
    <row r="105" spans="1:44" s="34" customFormat="1" ht="17.25" hidden="1" customHeight="1">
      <c r="A105" s="185"/>
      <c r="C105" s="74"/>
      <c r="D105" s="1179">
        <v>1</v>
      </c>
      <c r="E105" s="1168" t="s">
        <v>249</v>
      </c>
      <c r="F105" s="1181" t="s">
        <v>19</v>
      </c>
      <c r="G105" s="1168"/>
      <c r="H105" s="1170"/>
      <c r="I105" s="1172"/>
      <c r="J105" s="1174"/>
      <c r="K105" s="1166"/>
      <c r="L105" s="1166"/>
      <c r="M105" s="1166"/>
      <c r="N105" s="1177"/>
      <c r="O105" s="1166"/>
      <c r="P105" s="1166"/>
      <c r="Q105" s="1166"/>
      <c r="R105" s="1164"/>
      <c r="S105" s="1166"/>
      <c r="T105" s="801"/>
      <c r="U105" s="801"/>
      <c r="V105" s="800"/>
      <c r="W105" s="743"/>
      <c r="Y105" s="728"/>
      <c r="Z105" s="728"/>
      <c r="AA105" s="728"/>
      <c r="AB105" s="728"/>
      <c r="AC105" s="728" t="s">
        <v>250</v>
      </c>
      <c r="AD105" s="728" t="s">
        <v>251</v>
      </c>
      <c r="AE105" s="728" t="s">
        <v>252</v>
      </c>
      <c r="AF105" s="728" t="s">
        <v>253</v>
      </c>
      <c r="AG105" s="728"/>
      <c r="AH105" s="728" t="str">
        <f>IF($E$105=0,"",$E$105)</f>
        <v>Тариф на горячую воду (горячее водоснабжение)</v>
      </c>
      <c r="AI105" s="728" t="str">
        <f>IF($G$105=0,"",$G$105)</f>
        <v/>
      </c>
      <c r="AJ105" s="728" t="str">
        <f>IF($J$105=0,"",$J$105)</f>
        <v/>
      </c>
      <c r="AK105" s="728" t="str">
        <f>IF($K$105="нет","без дифференциации",IF($N$105=0,"",$N$105))</f>
        <v/>
      </c>
      <c r="AL105" s="728" t="str">
        <f>IF($O$105="нет","без дифференциации",IF($R$105=0,"",$R$105))</f>
        <v/>
      </c>
      <c r="AM105" s="728" t="str">
        <f>IF($S$105="нет","без дифференциации",IF($V$105=0,"",$V$105))</f>
        <v/>
      </c>
      <c r="AN105" s="728">
        <f>$I$105</f>
        <v>0</v>
      </c>
      <c r="AO105" s="728" t="str">
        <f>$I$105&amp;"."&amp;$M$105</f>
        <v>.</v>
      </c>
      <c r="AP105" s="728" t="str">
        <f>$I$105&amp;"."&amp;$M$105&amp;"."&amp;$Q$105</f>
        <v>..</v>
      </c>
      <c r="AQ105" s="728" t="str">
        <f>$I$105&amp;"."&amp;$M$105&amp;"."&amp;$Q$105&amp;"."&amp;$U$105</f>
        <v>...</v>
      </c>
      <c r="AR105" s="34">
        <v>0</v>
      </c>
    </row>
    <row r="106" spans="1:44" s="34" customFormat="1" ht="17.25" hidden="1" customHeight="1">
      <c r="A106" s="185"/>
      <c r="D106" s="1179"/>
      <c r="E106" s="1168"/>
      <c r="F106" s="1182"/>
      <c r="G106" s="1168"/>
      <c r="H106" s="1171"/>
      <c r="I106" s="1173"/>
      <c r="J106" s="1175"/>
      <c r="K106" s="1167"/>
      <c r="L106" s="1167"/>
      <c r="M106" s="1167"/>
      <c r="N106" s="1178"/>
      <c r="O106" s="1167"/>
      <c r="P106" s="1167"/>
      <c r="Q106" s="1167"/>
      <c r="R106" s="1165"/>
      <c r="S106" s="1167"/>
      <c r="T106" s="744"/>
      <c r="U106" s="744"/>
      <c r="V106" s="744"/>
      <c r="W106" s="745"/>
      <c r="Y106" s="16"/>
      <c r="Z106" s="16"/>
      <c r="AA106" s="16"/>
      <c r="AB106" s="16"/>
      <c r="AC106" s="16"/>
      <c r="AD106" s="16"/>
      <c r="AE106" s="16"/>
      <c r="AF106" s="16"/>
      <c r="AG106" s="16"/>
      <c r="AH106" s="16"/>
      <c r="AI106" s="16"/>
      <c r="AJ106" s="16"/>
      <c r="AK106" s="16"/>
      <c r="AL106" s="16"/>
      <c r="AM106" s="16"/>
      <c r="AN106" s="16"/>
      <c r="AO106" s="16"/>
      <c r="AP106" s="16"/>
      <c r="AQ106" s="16"/>
      <c r="AR106" s="34">
        <v>0</v>
      </c>
    </row>
    <row r="107" spans="1:44" s="34" customFormat="1" ht="17.25" hidden="1" customHeight="1">
      <c r="A107" s="185"/>
      <c r="C107" s="74"/>
      <c r="D107" s="1179"/>
      <c r="E107" s="1168"/>
      <c r="F107" s="1182"/>
      <c r="G107" s="1168"/>
      <c r="H107" s="1171"/>
      <c r="I107" s="1173"/>
      <c r="J107" s="1176"/>
      <c r="K107" s="1167"/>
      <c r="L107" s="1167"/>
      <c r="M107" s="1167"/>
      <c r="N107" s="1165"/>
      <c r="O107" s="1167"/>
      <c r="P107" s="53"/>
      <c r="Q107" s="744"/>
      <c r="R107" s="744"/>
      <c r="W107" s="745"/>
      <c r="Y107" s="728"/>
      <c r="Z107" s="728"/>
      <c r="AA107" s="728"/>
      <c r="AB107" s="728"/>
      <c r="AC107" s="728"/>
      <c r="AD107" s="728"/>
      <c r="AE107" s="728"/>
      <c r="AF107" s="728"/>
      <c r="AG107" s="728"/>
      <c r="AH107" s="728"/>
      <c r="AI107" s="728"/>
      <c r="AJ107" s="728"/>
      <c r="AK107" s="728"/>
      <c r="AL107" s="728"/>
      <c r="AM107" s="728"/>
      <c r="AN107" s="728"/>
      <c r="AO107" s="728"/>
      <c r="AP107" s="728"/>
      <c r="AQ107" s="728"/>
      <c r="AR107" s="34">
        <v>0</v>
      </c>
    </row>
    <row r="108" spans="1:44" s="34" customFormat="1" ht="17.25" hidden="1" customHeight="1">
      <c r="A108" s="185"/>
      <c r="D108" s="1179"/>
      <c r="E108" s="1168"/>
      <c r="F108" s="1182"/>
      <c r="G108" s="1168"/>
      <c r="H108" s="1171"/>
      <c r="I108" s="1173"/>
      <c r="J108" s="1176"/>
      <c r="K108" s="1167"/>
      <c r="L108" s="744"/>
      <c r="M108" s="744"/>
      <c r="N108" s="744"/>
      <c r="O108" s="744"/>
      <c r="P108" s="744"/>
      <c r="Q108" s="744"/>
      <c r="R108" s="744"/>
      <c r="W108" s="745"/>
      <c r="Y108" s="16"/>
      <c r="Z108" s="16"/>
      <c r="AA108" s="16"/>
      <c r="AB108" s="16"/>
      <c r="AC108" s="16"/>
      <c r="AD108" s="16"/>
      <c r="AE108" s="16"/>
      <c r="AF108" s="16"/>
      <c r="AG108" s="16"/>
      <c r="AH108" s="16"/>
      <c r="AI108" s="16"/>
      <c r="AJ108" s="16"/>
      <c r="AK108" s="16"/>
      <c r="AL108" s="16"/>
      <c r="AM108" s="16"/>
      <c r="AN108" s="16"/>
      <c r="AO108" s="16"/>
      <c r="AP108" s="16"/>
      <c r="AQ108" s="16"/>
      <c r="AR108" s="34">
        <v>0</v>
      </c>
    </row>
    <row r="109" spans="1:44" s="34" customFormat="1" ht="17.25" hidden="1" customHeight="1">
      <c r="A109" s="185"/>
      <c r="D109" s="1180"/>
      <c r="E109" s="1169"/>
      <c r="F109" s="1183"/>
      <c r="G109" s="1169"/>
      <c r="H109" s="746"/>
      <c r="I109" s="747"/>
      <c r="J109" s="747"/>
      <c r="K109" s="747"/>
      <c r="L109" s="747"/>
      <c r="M109" s="747"/>
      <c r="N109" s="747"/>
      <c r="O109" s="747"/>
      <c r="P109" s="747"/>
      <c r="Q109" s="747"/>
      <c r="R109" s="747"/>
      <c r="S109" s="748"/>
      <c r="T109" s="748"/>
      <c r="U109" s="748"/>
      <c r="V109" s="748"/>
      <c r="W109" s="749"/>
      <c r="Y109" s="16"/>
      <c r="Z109" s="16"/>
      <c r="AA109" s="16"/>
      <c r="AB109" s="16"/>
      <c r="AC109" s="16"/>
      <c r="AD109" s="16"/>
      <c r="AE109" s="16"/>
      <c r="AF109" s="16"/>
      <c r="AG109" s="16"/>
      <c r="AH109" s="16"/>
      <c r="AI109" s="16"/>
      <c r="AJ109" s="16"/>
      <c r="AK109" s="16"/>
      <c r="AL109" s="16"/>
      <c r="AM109" s="16"/>
      <c r="AN109" s="16"/>
      <c r="AO109" s="16"/>
      <c r="AP109" s="16"/>
      <c r="AQ109" s="16"/>
      <c r="AR109" s="34">
        <v>0</v>
      </c>
    </row>
    <row r="110" spans="1:44" s="34" customFormat="1" ht="17.25" hidden="1" customHeight="1">
      <c r="A110" s="185"/>
      <c r="C110" s="74"/>
      <c r="D110" s="1179">
        <v>2</v>
      </c>
      <c r="E110" s="1168" t="s">
        <v>254</v>
      </c>
      <c r="F110" s="1181" t="s">
        <v>19</v>
      </c>
      <c r="G110" s="1168"/>
      <c r="H110" s="1170"/>
      <c r="I110" s="1172"/>
      <c r="J110" s="1174"/>
      <c r="K110" s="1166"/>
      <c r="L110" s="1166"/>
      <c r="M110" s="1166"/>
      <c r="N110" s="1177"/>
      <c r="O110" s="1166"/>
      <c r="P110" s="1166"/>
      <c r="Q110" s="1166"/>
      <c r="R110" s="1164"/>
      <c r="S110" s="1166"/>
      <c r="T110" s="801"/>
      <c r="U110" s="801"/>
      <c r="V110" s="800"/>
      <c r="W110" s="743"/>
      <c r="X110" s="728"/>
      <c r="Y110" s="728"/>
      <c r="Z110" s="728"/>
      <c r="AA110" s="728"/>
      <c r="AB110" s="728"/>
      <c r="AC110" s="728" t="s">
        <v>255</v>
      </c>
      <c r="AD110" s="728" t="s">
        <v>256</v>
      </c>
      <c r="AE110" s="728" t="s">
        <v>257</v>
      </c>
      <c r="AF110" s="728" t="s">
        <v>258</v>
      </c>
      <c r="AG110" s="728"/>
      <c r="AH110" s="728" t="str">
        <f>IF($E$110=0,"",$E$110)</f>
        <v>Тариф на транспортировку горячей воды</v>
      </c>
      <c r="AI110" s="728" t="str">
        <f>IF($G$110=0,"",$G$110)</f>
        <v/>
      </c>
      <c r="AJ110" s="728" t="str">
        <f>IF($J$110=0,"",$J$110)</f>
        <v/>
      </c>
      <c r="AK110" s="728" t="str">
        <f>IF($K$110="нет","без дифференциации",IF($N$110=0,"",$N$110))</f>
        <v/>
      </c>
      <c r="AL110" s="728" t="str">
        <f>IF($O$110="нет","без дифференциации",IF($R$110=0,"",$R$110))</f>
        <v/>
      </c>
      <c r="AM110" s="728" t="str">
        <f>IF($S$110="нет","без дифференциации",IF($V$110=0,"",$V$110))</f>
        <v/>
      </c>
      <c r="AN110" s="972">
        <f>$I$110</f>
        <v>0</v>
      </c>
      <c r="AO110" s="728" t="str">
        <f>$I$110&amp;"."&amp;$M$110</f>
        <v>.</v>
      </c>
      <c r="AP110" s="16" t="str">
        <f>$I$110&amp;"."&amp;$M$110&amp;"."&amp;$Q$110</f>
        <v>..</v>
      </c>
      <c r="AQ110" s="16" t="str">
        <f>$I$110&amp;"."&amp;$M$110&amp;"."&amp;$Q$110&amp;"."&amp;$U$110</f>
        <v>...</v>
      </c>
      <c r="AR110" s="34">
        <v>0</v>
      </c>
    </row>
    <row r="111" spans="1:44" s="34" customFormat="1" ht="17.25" hidden="1" customHeight="1">
      <c r="A111" s="185"/>
      <c r="D111" s="1179"/>
      <c r="E111" s="1168"/>
      <c r="F111" s="1182"/>
      <c r="G111" s="1168"/>
      <c r="H111" s="1171"/>
      <c r="I111" s="1173"/>
      <c r="J111" s="1175"/>
      <c r="K111" s="1167"/>
      <c r="L111" s="1167"/>
      <c r="M111" s="1167"/>
      <c r="N111" s="1178"/>
      <c r="O111" s="1167"/>
      <c r="P111" s="1167"/>
      <c r="Q111" s="1167"/>
      <c r="R111" s="1165"/>
      <c r="S111" s="1167"/>
      <c r="T111" s="744"/>
      <c r="U111" s="744"/>
      <c r="V111" s="744"/>
      <c r="W111" s="745"/>
      <c r="X111" s="16"/>
      <c r="Y111" s="16"/>
      <c r="Z111" s="16"/>
      <c r="AA111" s="16"/>
      <c r="AB111" s="16"/>
      <c r="AC111" s="16"/>
      <c r="AD111" s="16"/>
      <c r="AE111" s="16"/>
      <c r="AF111" s="16"/>
      <c r="AG111" s="16"/>
      <c r="AH111" s="16"/>
      <c r="AI111" s="16"/>
      <c r="AJ111" s="16"/>
      <c r="AK111" s="16"/>
      <c r="AL111" s="16"/>
      <c r="AM111" s="16"/>
      <c r="AN111" s="16"/>
      <c r="AO111" s="16"/>
      <c r="AP111" s="16"/>
      <c r="AQ111" s="16"/>
      <c r="AR111" s="34">
        <v>0</v>
      </c>
    </row>
    <row r="112" spans="1:44" s="34" customFormat="1" ht="17.25" hidden="1" customHeight="1">
      <c r="A112" s="185"/>
      <c r="D112" s="1180"/>
      <c r="E112" s="1169"/>
      <c r="F112" s="1182"/>
      <c r="G112" s="1169"/>
      <c r="H112" s="1171"/>
      <c r="I112" s="1173"/>
      <c r="J112" s="1176"/>
      <c r="K112" s="1167"/>
      <c r="L112" s="1167"/>
      <c r="M112" s="1167"/>
      <c r="N112" s="1165"/>
      <c r="O112" s="1167"/>
      <c r="P112" s="53"/>
      <c r="Q112" s="744"/>
      <c r="R112" s="744"/>
      <c r="W112" s="745"/>
      <c r="X112" s="16"/>
      <c r="Y112" s="16"/>
      <c r="Z112" s="16"/>
      <c r="AA112" s="16"/>
      <c r="AB112" s="16"/>
      <c r="AC112" s="16"/>
      <c r="AD112" s="16"/>
      <c r="AE112" s="16"/>
      <c r="AF112" s="16"/>
      <c r="AG112" s="16"/>
      <c r="AH112" s="16"/>
      <c r="AI112" s="16"/>
      <c r="AJ112" s="16"/>
      <c r="AK112" s="16"/>
      <c r="AL112" s="16"/>
      <c r="AM112" s="16"/>
      <c r="AN112" s="16"/>
      <c r="AO112" s="16"/>
      <c r="AP112" s="16"/>
      <c r="AQ112" s="16"/>
      <c r="AR112" s="34">
        <v>0</v>
      </c>
    </row>
    <row r="113" spans="1:44" s="34" customFormat="1" ht="17.25" hidden="1" customHeight="1">
      <c r="A113" s="185"/>
      <c r="D113" s="1180"/>
      <c r="E113" s="1169"/>
      <c r="F113" s="1182"/>
      <c r="G113" s="1169"/>
      <c r="H113" s="1171"/>
      <c r="I113" s="1173"/>
      <c r="J113" s="1176"/>
      <c r="K113" s="1167"/>
      <c r="L113" s="744"/>
      <c r="M113" s="744"/>
      <c r="N113" s="744"/>
      <c r="O113" s="744"/>
      <c r="P113" s="744"/>
      <c r="Q113" s="744"/>
      <c r="R113" s="744"/>
      <c r="W113" s="745"/>
      <c r="X113" s="16"/>
      <c r="Y113" s="16"/>
      <c r="Z113" s="16"/>
      <c r="AA113" s="16"/>
      <c r="AB113" s="16"/>
      <c r="AC113" s="16"/>
      <c r="AD113" s="16"/>
      <c r="AE113" s="16"/>
      <c r="AF113" s="16"/>
      <c r="AG113" s="16"/>
      <c r="AH113" s="16"/>
      <c r="AI113" s="16"/>
      <c r="AJ113" s="16"/>
      <c r="AK113" s="16"/>
      <c r="AL113" s="16"/>
      <c r="AM113" s="16"/>
      <c r="AN113" s="16"/>
      <c r="AO113" s="16"/>
      <c r="AP113" s="16"/>
      <c r="AQ113" s="16"/>
      <c r="AR113" s="34">
        <v>0</v>
      </c>
    </row>
    <row r="114" spans="1:44" s="34" customFormat="1" ht="17.25" hidden="1" customHeight="1">
      <c r="A114" s="185"/>
      <c r="D114" s="1180"/>
      <c r="E114" s="1169"/>
      <c r="F114" s="1183"/>
      <c r="G114" s="1169"/>
      <c r="H114" s="746"/>
      <c r="I114" s="747"/>
      <c r="J114" s="747"/>
      <c r="K114" s="747"/>
      <c r="L114" s="747"/>
      <c r="M114" s="747"/>
      <c r="N114" s="747"/>
      <c r="O114" s="747"/>
      <c r="P114" s="747"/>
      <c r="Q114" s="747"/>
      <c r="R114" s="747"/>
      <c r="S114" s="748"/>
      <c r="T114" s="748"/>
      <c r="U114" s="748"/>
      <c r="V114" s="748"/>
      <c r="W114" s="749"/>
      <c r="X114" s="16"/>
      <c r="Y114" s="16"/>
      <c r="Z114" s="16"/>
      <c r="AA114" s="16"/>
      <c r="AB114" s="16"/>
      <c r="AC114" s="16"/>
      <c r="AD114" s="16"/>
      <c r="AE114" s="16"/>
      <c r="AF114" s="16"/>
      <c r="AG114" s="16"/>
      <c r="AH114" s="16"/>
      <c r="AI114" s="16"/>
      <c r="AJ114" s="16"/>
      <c r="AK114" s="16"/>
      <c r="AL114" s="16"/>
      <c r="AM114" s="16"/>
      <c r="AN114" s="16"/>
      <c r="AO114" s="16"/>
      <c r="AP114" s="16"/>
      <c r="AQ114" s="16"/>
      <c r="AR114" s="34">
        <v>0</v>
      </c>
    </row>
    <row r="115" spans="1:44" s="34" customFormat="1" ht="17.25" hidden="1" customHeight="1">
      <c r="A115" s="185"/>
      <c r="C115" s="74"/>
      <c r="D115" s="1179">
        <v>3</v>
      </c>
      <c r="E115" s="1168" t="s">
        <v>259</v>
      </c>
      <c r="F115" s="1181" t="s">
        <v>19</v>
      </c>
      <c r="G115" s="1168"/>
      <c r="H115" s="1170"/>
      <c r="I115" s="1172"/>
      <c r="J115" s="1174"/>
      <c r="K115" s="1166"/>
      <c r="L115" s="1166"/>
      <c r="M115" s="1166"/>
      <c r="N115" s="1177"/>
      <c r="O115" s="1166"/>
      <c r="P115" s="1166"/>
      <c r="Q115" s="1166"/>
      <c r="R115" s="1164"/>
      <c r="S115" s="1166"/>
      <c r="T115" s="801"/>
      <c r="U115" s="801"/>
      <c r="V115" s="800"/>
      <c r="W115" s="743"/>
      <c r="X115" s="728"/>
      <c r="Y115" s="728"/>
      <c r="Z115" s="728"/>
      <c r="AA115" s="728"/>
      <c r="AB115" s="728"/>
      <c r="AC115" s="728" t="s">
        <v>260</v>
      </c>
      <c r="AD115" s="728" t="s">
        <v>261</v>
      </c>
      <c r="AE115" s="728" t="s">
        <v>262</v>
      </c>
      <c r="AF115" s="728" t="s">
        <v>263</v>
      </c>
      <c r="AG115" s="728"/>
      <c r="AH115" s="728" t="str">
        <f>IF($E$115=0,"",$E$115)</f>
        <v>Тариф на подключение (технологическое присоединение) к централизованной системе горячего водоснабжения</v>
      </c>
      <c r="AI115" s="728" t="str">
        <f>IF($G$115=0,"",$G$115)</f>
        <v/>
      </c>
      <c r="AJ115" s="728" t="str">
        <f>IF($J$115=0,"",$J$115)</f>
        <v/>
      </c>
      <c r="AK115" s="728" t="str">
        <f>IF($K$115="нет","без дифференциации",IF($N$115=0,"",$N$115))</f>
        <v/>
      </c>
      <c r="AL115" s="728" t="str">
        <f>IF($O$115="нет","без дифференциации",IF($R$115=0,"",$R$115))</f>
        <v/>
      </c>
      <c r="AM115" s="728" t="str">
        <f>IF($S$115="нет","без дифференциации",IF($V$115=0,"",$V$115))</f>
        <v/>
      </c>
      <c r="AN115" s="972">
        <f>$I$115</f>
        <v>0</v>
      </c>
      <c r="AO115" s="728" t="str">
        <f>$I$115&amp;"."&amp;$M$115</f>
        <v>.</v>
      </c>
      <c r="AP115" s="16" t="str">
        <f>$I$115&amp;"."&amp;$M$115&amp;"."&amp;$Q$115</f>
        <v>..</v>
      </c>
      <c r="AQ115" s="16" t="str">
        <f>$I$115&amp;"."&amp;$M$115&amp;"."&amp;$Q$115&amp;"."&amp;$U$115</f>
        <v>...</v>
      </c>
      <c r="AR115" s="34">
        <v>0</v>
      </c>
    </row>
    <row r="116" spans="1:44" s="34" customFormat="1" ht="17.25" hidden="1" customHeight="1">
      <c r="A116" s="185"/>
      <c r="D116" s="1179"/>
      <c r="E116" s="1168"/>
      <c r="F116" s="1182"/>
      <c r="G116" s="1168"/>
      <c r="H116" s="1171"/>
      <c r="I116" s="1173"/>
      <c r="J116" s="1175"/>
      <c r="K116" s="1167"/>
      <c r="L116" s="1167"/>
      <c r="M116" s="1167"/>
      <c r="N116" s="1178"/>
      <c r="O116" s="1167"/>
      <c r="P116" s="1167"/>
      <c r="Q116" s="1167"/>
      <c r="R116" s="1165"/>
      <c r="S116" s="1167"/>
      <c r="T116" s="744"/>
      <c r="U116" s="744"/>
      <c r="V116" s="744"/>
      <c r="W116" s="745"/>
      <c r="X116" s="16"/>
      <c r="Y116" s="16"/>
      <c r="Z116" s="16"/>
      <c r="AA116" s="16"/>
      <c r="AB116" s="16"/>
      <c r="AC116" s="16"/>
      <c r="AD116" s="16"/>
      <c r="AE116" s="16"/>
      <c r="AF116" s="16"/>
      <c r="AG116" s="16"/>
      <c r="AH116" s="16"/>
      <c r="AI116" s="16"/>
      <c r="AJ116" s="16"/>
      <c r="AK116" s="16"/>
      <c r="AL116" s="16"/>
      <c r="AM116" s="16"/>
      <c r="AN116" s="16"/>
      <c r="AO116" s="16"/>
      <c r="AP116" s="16"/>
      <c r="AQ116" s="16"/>
      <c r="AR116" s="34">
        <v>0</v>
      </c>
    </row>
    <row r="117" spans="1:44" s="34" customFormat="1" ht="17.25" hidden="1" customHeight="1">
      <c r="A117" s="185"/>
      <c r="D117" s="1180"/>
      <c r="E117" s="1169"/>
      <c r="F117" s="1182"/>
      <c r="G117" s="1169"/>
      <c r="H117" s="1171"/>
      <c r="I117" s="1173"/>
      <c r="J117" s="1176"/>
      <c r="K117" s="1167"/>
      <c r="L117" s="1167"/>
      <c r="M117" s="1167"/>
      <c r="N117" s="1165"/>
      <c r="O117" s="1167"/>
      <c r="P117" s="53"/>
      <c r="Q117" s="744"/>
      <c r="R117" s="744"/>
      <c r="W117" s="745"/>
      <c r="X117" s="16"/>
      <c r="Y117" s="16"/>
      <c r="Z117" s="16"/>
      <c r="AA117" s="16"/>
      <c r="AB117" s="16"/>
      <c r="AC117" s="16"/>
      <c r="AD117" s="16"/>
      <c r="AE117" s="16"/>
      <c r="AF117" s="16"/>
      <c r="AG117" s="16"/>
      <c r="AH117" s="16"/>
      <c r="AI117" s="16"/>
      <c r="AJ117" s="16"/>
      <c r="AK117" s="16"/>
      <c r="AL117" s="16"/>
      <c r="AM117" s="16"/>
      <c r="AN117" s="16"/>
      <c r="AO117" s="16"/>
      <c r="AP117" s="16"/>
      <c r="AQ117" s="16"/>
      <c r="AR117" s="34">
        <v>0</v>
      </c>
    </row>
    <row r="118" spans="1:44" s="34" customFormat="1" ht="17.25" hidden="1" customHeight="1">
      <c r="A118" s="185"/>
      <c r="D118" s="1180"/>
      <c r="E118" s="1169"/>
      <c r="F118" s="1182"/>
      <c r="G118" s="1169"/>
      <c r="H118" s="1171"/>
      <c r="I118" s="1173"/>
      <c r="J118" s="1176"/>
      <c r="K118" s="1167"/>
      <c r="L118" s="744"/>
      <c r="M118" s="744"/>
      <c r="N118" s="744"/>
      <c r="O118" s="744"/>
      <c r="P118" s="744"/>
      <c r="Q118" s="744"/>
      <c r="R118" s="744"/>
      <c r="W118" s="745"/>
      <c r="X118" s="16"/>
      <c r="Y118" s="16"/>
      <c r="Z118" s="16"/>
      <c r="AA118" s="16"/>
      <c r="AB118" s="16"/>
      <c r="AC118" s="16"/>
      <c r="AD118" s="16"/>
      <c r="AE118" s="16"/>
      <c r="AF118" s="16"/>
      <c r="AG118" s="16"/>
      <c r="AH118" s="16"/>
      <c r="AI118" s="16"/>
      <c r="AJ118" s="16"/>
      <c r="AK118" s="16"/>
      <c r="AL118" s="16"/>
      <c r="AM118" s="16"/>
      <c r="AN118" s="16"/>
      <c r="AO118" s="16"/>
      <c r="AP118" s="16"/>
      <c r="AQ118" s="16"/>
      <c r="AR118" s="34">
        <v>0</v>
      </c>
    </row>
    <row r="119" spans="1:44" s="34" customFormat="1" ht="17.25" hidden="1" customHeight="1">
      <c r="A119" s="185"/>
      <c r="D119" s="1180"/>
      <c r="E119" s="1169"/>
      <c r="F119" s="1183"/>
      <c r="G119" s="1169"/>
      <c r="H119" s="746"/>
      <c r="I119" s="747"/>
      <c r="J119" s="747"/>
      <c r="K119" s="747"/>
      <c r="L119" s="747"/>
      <c r="M119" s="747"/>
      <c r="N119" s="747"/>
      <c r="O119" s="747"/>
      <c r="P119" s="747"/>
      <c r="Q119" s="747"/>
      <c r="R119" s="747"/>
      <c r="S119" s="748"/>
      <c r="T119" s="748"/>
      <c r="U119" s="748"/>
      <c r="V119" s="748"/>
      <c r="W119" s="749"/>
      <c r="X119" s="16"/>
      <c r="Y119" s="16"/>
      <c r="Z119" s="16"/>
      <c r="AA119" s="16"/>
      <c r="AB119" s="16"/>
      <c r="AC119" s="16"/>
      <c r="AD119" s="16"/>
      <c r="AE119" s="16"/>
      <c r="AF119" s="16"/>
      <c r="AG119" s="16"/>
      <c r="AH119" s="16"/>
      <c r="AI119" s="16"/>
      <c r="AJ119" s="16"/>
      <c r="AK119" s="16"/>
      <c r="AL119" s="16"/>
      <c r="AM119" s="16"/>
      <c r="AN119" s="16"/>
      <c r="AO119" s="16"/>
      <c r="AP119" s="16"/>
      <c r="AQ119" s="16"/>
      <c r="AR119" s="34">
        <v>0</v>
      </c>
    </row>
    <row r="120" spans="1:44" s="34" customFormat="1" ht="11.25" hidden="1" customHeight="1">
      <c r="A120" s="66"/>
      <c r="B120" s="66"/>
      <c r="Y120" s="16"/>
      <c r="Z120" s="16"/>
      <c r="AA120" s="16"/>
      <c r="AB120" s="16"/>
      <c r="AC120" s="16"/>
      <c r="AD120" s="16"/>
      <c r="AE120" s="16"/>
      <c r="AF120" s="16"/>
      <c r="AG120" s="16"/>
      <c r="AH120" s="16"/>
      <c r="AI120" s="16"/>
      <c r="AJ120" s="16"/>
      <c r="AK120" s="16"/>
      <c r="AL120" s="16"/>
      <c r="AM120" s="16"/>
      <c r="AN120" s="16"/>
      <c r="AO120" s="16"/>
      <c r="AP120" s="16"/>
      <c r="AQ120" s="16"/>
      <c r="AR120" s="34">
        <v>0</v>
      </c>
    </row>
    <row r="121" spans="1:44" s="34" customFormat="1" ht="17.25" hidden="1" customHeight="1">
      <c r="A121" s="185"/>
      <c r="C121" s="74"/>
      <c r="D121" s="1179">
        <v>1</v>
      </c>
      <c r="E121" s="1168" t="s">
        <v>264</v>
      </c>
      <c r="F121" s="1181" t="s">
        <v>19</v>
      </c>
      <c r="G121" s="1168"/>
      <c r="H121" s="1170"/>
      <c r="I121" s="1172"/>
      <c r="J121" s="1174"/>
      <c r="K121" s="1166"/>
      <c r="L121" s="1166"/>
      <c r="M121" s="1166"/>
      <c r="N121" s="1177"/>
      <c r="O121" s="1166"/>
      <c r="P121" s="1166"/>
      <c r="Q121" s="1166"/>
      <c r="R121" s="1164"/>
      <c r="S121" s="1166"/>
      <c r="T121" s="801"/>
      <c r="U121" s="801"/>
      <c r="V121" s="800"/>
      <c r="W121" s="743"/>
      <c r="Y121" s="728"/>
      <c r="Z121" s="728"/>
      <c r="AA121" s="728"/>
      <c r="AB121" s="728"/>
      <c r="AC121" s="728" t="s">
        <v>265</v>
      </c>
      <c r="AD121" s="728" t="s">
        <v>266</v>
      </c>
      <c r="AE121" s="728" t="s">
        <v>267</v>
      </c>
      <c r="AF121" s="728" t="s">
        <v>268</v>
      </c>
      <c r="AG121" s="728"/>
      <c r="AH121" s="728" t="str">
        <f>IF($E$121=0,"",$E$121)</f>
        <v>Тариф на водоотведение</v>
      </c>
      <c r="AI121" s="728" t="str">
        <f>IF($G$121=0,"",$G$121)</f>
        <v/>
      </c>
      <c r="AJ121" s="728" t="str">
        <f>IF($J$121=0,"",$J$121)</f>
        <v/>
      </c>
      <c r="AK121" s="728" t="str">
        <f>IF($K$121="нет","без дифференциации",IF($N$121=0,"",$N$121))</f>
        <v/>
      </c>
      <c r="AL121" s="728" t="str">
        <f>IF($O$121="нет","без дифференциации",IF($R$121=0,"",$R$121))</f>
        <v/>
      </c>
      <c r="AM121" s="728" t="str">
        <f>IF($S$121="нет","без дифференциации",IF($V$121=0,"",$V$121))</f>
        <v/>
      </c>
      <c r="AN121" s="728">
        <f>$I$121</f>
        <v>0</v>
      </c>
      <c r="AO121" s="728" t="str">
        <f>$I$121&amp;"."&amp;$M$121</f>
        <v>.</v>
      </c>
      <c r="AP121" s="728" t="str">
        <f>$I$121&amp;"."&amp;$M$121&amp;"."&amp;$Q$121</f>
        <v>..</v>
      </c>
      <c r="AQ121" s="728" t="str">
        <f>$I$121&amp;"."&amp;$M$121&amp;"."&amp;$Q$121&amp;"."&amp;$U$121</f>
        <v>...</v>
      </c>
      <c r="AR121" s="34">
        <v>0</v>
      </c>
    </row>
    <row r="122" spans="1:44" s="34" customFormat="1" ht="17.25" hidden="1" customHeight="1">
      <c r="A122" s="185"/>
      <c r="D122" s="1179"/>
      <c r="E122" s="1168"/>
      <c r="F122" s="1182"/>
      <c r="G122" s="1168"/>
      <c r="H122" s="1171"/>
      <c r="I122" s="1173"/>
      <c r="J122" s="1175"/>
      <c r="K122" s="1167"/>
      <c r="L122" s="1167"/>
      <c r="M122" s="1167"/>
      <c r="N122" s="1178"/>
      <c r="O122" s="1167"/>
      <c r="P122" s="1167"/>
      <c r="Q122" s="1167"/>
      <c r="R122" s="1165"/>
      <c r="S122" s="1167"/>
      <c r="T122" s="744"/>
      <c r="U122" s="744"/>
      <c r="V122" s="744"/>
      <c r="W122" s="745"/>
      <c r="Y122" s="16"/>
      <c r="Z122" s="16"/>
      <c r="AA122" s="16"/>
      <c r="AB122" s="16"/>
      <c r="AC122" s="16"/>
      <c r="AD122" s="16"/>
      <c r="AE122" s="16"/>
      <c r="AF122" s="16"/>
      <c r="AG122" s="16"/>
      <c r="AH122" s="16"/>
      <c r="AI122" s="16"/>
      <c r="AJ122" s="16"/>
      <c r="AK122" s="16"/>
      <c r="AL122" s="16"/>
      <c r="AM122" s="16"/>
      <c r="AN122" s="16"/>
      <c r="AO122" s="16"/>
      <c r="AP122" s="16"/>
      <c r="AQ122" s="16"/>
      <c r="AR122" s="34">
        <v>0</v>
      </c>
    </row>
    <row r="123" spans="1:44" s="34" customFormat="1" ht="17.25" hidden="1" customHeight="1">
      <c r="A123" s="185"/>
      <c r="C123" s="74"/>
      <c r="D123" s="1179"/>
      <c r="E123" s="1168"/>
      <c r="F123" s="1182"/>
      <c r="G123" s="1168"/>
      <c r="H123" s="1171"/>
      <c r="I123" s="1173"/>
      <c r="J123" s="1176"/>
      <c r="K123" s="1167"/>
      <c r="L123" s="1167"/>
      <c r="M123" s="1167"/>
      <c r="N123" s="1165"/>
      <c r="O123" s="1167"/>
      <c r="P123" s="53"/>
      <c r="Q123" s="744"/>
      <c r="R123" s="744"/>
      <c r="W123" s="745"/>
      <c r="Y123" s="728"/>
      <c r="Z123" s="728"/>
      <c r="AA123" s="728"/>
      <c r="AB123" s="728"/>
      <c r="AC123" s="728"/>
      <c r="AD123" s="728"/>
      <c r="AE123" s="728"/>
      <c r="AF123" s="728"/>
      <c r="AG123" s="728"/>
      <c r="AH123" s="728"/>
      <c r="AI123" s="728"/>
      <c r="AJ123" s="728"/>
      <c r="AK123" s="728"/>
      <c r="AL123" s="728"/>
      <c r="AM123" s="728"/>
      <c r="AN123" s="728"/>
      <c r="AO123" s="728"/>
      <c r="AP123" s="728"/>
      <c r="AQ123" s="728"/>
      <c r="AR123" s="34">
        <v>0</v>
      </c>
    </row>
    <row r="124" spans="1:44" s="34" customFormat="1" ht="17.25" hidden="1" customHeight="1">
      <c r="A124" s="185"/>
      <c r="D124" s="1179"/>
      <c r="E124" s="1168"/>
      <c r="F124" s="1182"/>
      <c r="G124" s="1168"/>
      <c r="H124" s="1171"/>
      <c r="I124" s="1173"/>
      <c r="J124" s="1176"/>
      <c r="K124" s="1167"/>
      <c r="L124" s="744"/>
      <c r="M124" s="744"/>
      <c r="N124" s="744"/>
      <c r="O124" s="744"/>
      <c r="P124" s="744"/>
      <c r="Q124" s="744"/>
      <c r="R124" s="744"/>
      <c r="W124" s="745"/>
      <c r="Y124" s="16"/>
      <c r="Z124" s="16"/>
      <c r="AA124" s="16"/>
      <c r="AB124" s="16"/>
      <c r="AC124" s="16"/>
      <c r="AD124" s="16"/>
      <c r="AE124" s="16"/>
      <c r="AF124" s="16"/>
      <c r="AG124" s="16"/>
      <c r="AH124" s="16"/>
      <c r="AI124" s="16"/>
      <c r="AJ124" s="16"/>
      <c r="AK124" s="16"/>
      <c r="AL124" s="16"/>
      <c r="AM124" s="16"/>
      <c r="AN124" s="16"/>
      <c r="AO124" s="16"/>
      <c r="AP124" s="16"/>
      <c r="AQ124" s="16"/>
      <c r="AR124" s="34">
        <v>0</v>
      </c>
    </row>
    <row r="125" spans="1:44" s="34" customFormat="1" ht="17.25" hidden="1" customHeight="1">
      <c r="A125" s="185"/>
      <c r="D125" s="1180"/>
      <c r="E125" s="1169"/>
      <c r="F125" s="1183"/>
      <c r="G125" s="1169"/>
      <c r="H125" s="746"/>
      <c r="I125" s="747"/>
      <c r="J125" s="747"/>
      <c r="K125" s="747"/>
      <c r="L125" s="747"/>
      <c r="M125" s="747"/>
      <c r="N125" s="747"/>
      <c r="O125" s="747"/>
      <c r="P125" s="747"/>
      <c r="Q125" s="747"/>
      <c r="R125" s="747"/>
      <c r="S125" s="748"/>
      <c r="T125" s="748"/>
      <c r="U125" s="748"/>
      <c r="V125" s="748"/>
      <c r="W125" s="749"/>
      <c r="Y125" s="16"/>
      <c r="Z125" s="16"/>
      <c r="AA125" s="16"/>
      <c r="AB125" s="16"/>
      <c r="AC125" s="16"/>
      <c r="AD125" s="16"/>
      <c r="AE125" s="16"/>
      <c r="AF125" s="16"/>
      <c r="AG125" s="16"/>
      <c r="AH125" s="16"/>
      <c r="AI125" s="16"/>
      <c r="AJ125" s="16"/>
      <c r="AK125" s="16"/>
      <c r="AL125" s="16"/>
      <c r="AM125" s="16"/>
      <c r="AN125" s="16"/>
      <c r="AO125" s="16"/>
      <c r="AP125" s="16"/>
      <c r="AQ125" s="16"/>
      <c r="AR125" s="34">
        <v>0</v>
      </c>
    </row>
    <row r="126" spans="1:44" s="34" customFormat="1" ht="17.25" hidden="1" customHeight="1">
      <c r="A126" s="185"/>
      <c r="C126" s="74"/>
      <c r="D126" s="1179">
        <v>2</v>
      </c>
      <c r="E126" s="1168" t="s">
        <v>269</v>
      </c>
      <c r="F126" s="1181" t="s">
        <v>19</v>
      </c>
      <c r="G126" s="1168"/>
      <c r="H126" s="1170"/>
      <c r="I126" s="1172"/>
      <c r="J126" s="1174"/>
      <c r="K126" s="1166"/>
      <c r="L126" s="1166"/>
      <c r="M126" s="1166"/>
      <c r="N126" s="1177"/>
      <c r="O126" s="1166"/>
      <c r="P126" s="1166"/>
      <c r="Q126" s="1166"/>
      <c r="R126" s="1164"/>
      <c r="S126" s="1166"/>
      <c r="T126" s="801"/>
      <c r="U126" s="801"/>
      <c r="V126" s="800"/>
      <c r="W126" s="743"/>
      <c r="X126" s="728"/>
      <c r="Y126" s="728"/>
      <c r="Z126" s="728"/>
      <c r="AA126" s="728"/>
      <c r="AB126" s="728"/>
      <c r="AC126" s="728" t="s">
        <v>270</v>
      </c>
      <c r="AD126" s="728" t="s">
        <v>271</v>
      </c>
      <c r="AE126" s="728" t="s">
        <v>272</v>
      </c>
      <c r="AF126" s="728" t="s">
        <v>273</v>
      </c>
      <c r="AG126" s="728"/>
      <c r="AH126" s="728" t="str">
        <f>IF($E$126=0,"",$E$126)</f>
        <v>Тариф на транспортировку сточных вод</v>
      </c>
      <c r="AI126" s="728" t="str">
        <f>IF($G$126=0,"",$G$126)</f>
        <v/>
      </c>
      <c r="AJ126" s="728" t="str">
        <f>IF($J$126=0,"",$J$126)</f>
        <v/>
      </c>
      <c r="AK126" s="728" t="str">
        <f>IF($K$126="нет","без дифференциации",IF($N$126=0,"",$N$126))</f>
        <v/>
      </c>
      <c r="AL126" s="728" t="str">
        <f>IF($O$126="нет","без дифференциации",IF($R$126=0,"",$R$126))</f>
        <v/>
      </c>
      <c r="AM126" s="728" t="str">
        <f>IF($S$126="нет","без дифференциации",IF($V$126=0,"",$V$126))</f>
        <v/>
      </c>
      <c r="AN126" s="972">
        <f>$I$126</f>
        <v>0</v>
      </c>
      <c r="AO126" s="728" t="str">
        <f>$I$126&amp;"."&amp;$M$126</f>
        <v>.</v>
      </c>
      <c r="AP126" s="16" t="str">
        <f>$I$126&amp;"."&amp;$M$126&amp;"."&amp;$Q$126</f>
        <v>..</v>
      </c>
      <c r="AQ126" s="16" t="str">
        <f>$I$126&amp;"."&amp;$M$126&amp;"."&amp;$Q$126&amp;"."&amp;$U$126</f>
        <v>...</v>
      </c>
      <c r="AR126" s="34">
        <v>0</v>
      </c>
    </row>
    <row r="127" spans="1:44" s="34" customFormat="1" ht="17.25" hidden="1" customHeight="1">
      <c r="A127" s="185"/>
      <c r="D127" s="1179"/>
      <c r="E127" s="1168"/>
      <c r="F127" s="1182"/>
      <c r="G127" s="1168"/>
      <c r="H127" s="1171"/>
      <c r="I127" s="1173"/>
      <c r="J127" s="1175"/>
      <c r="K127" s="1167"/>
      <c r="L127" s="1167"/>
      <c r="M127" s="1167"/>
      <c r="N127" s="1178"/>
      <c r="O127" s="1167"/>
      <c r="P127" s="1167"/>
      <c r="Q127" s="1167"/>
      <c r="R127" s="1165"/>
      <c r="S127" s="1167"/>
      <c r="T127" s="744"/>
      <c r="U127" s="744"/>
      <c r="V127" s="744"/>
      <c r="W127" s="745"/>
      <c r="X127" s="16"/>
      <c r="Y127" s="16"/>
      <c r="Z127" s="16"/>
      <c r="AA127" s="16"/>
      <c r="AB127" s="16"/>
      <c r="AC127" s="16"/>
      <c r="AD127" s="16"/>
      <c r="AE127" s="16"/>
      <c r="AF127" s="16"/>
      <c r="AG127" s="16"/>
      <c r="AH127" s="16"/>
      <c r="AI127" s="16"/>
      <c r="AJ127" s="16"/>
      <c r="AK127" s="16"/>
      <c r="AL127" s="16"/>
      <c r="AM127" s="16"/>
      <c r="AN127" s="16"/>
      <c r="AO127" s="16"/>
      <c r="AP127" s="16"/>
      <c r="AQ127" s="16"/>
      <c r="AR127" s="34">
        <v>0</v>
      </c>
    </row>
    <row r="128" spans="1:44" s="34" customFormat="1" ht="17.25" hidden="1" customHeight="1">
      <c r="A128" s="185"/>
      <c r="D128" s="1180"/>
      <c r="E128" s="1169"/>
      <c r="F128" s="1182"/>
      <c r="G128" s="1169"/>
      <c r="H128" s="1171"/>
      <c r="I128" s="1173"/>
      <c r="J128" s="1176"/>
      <c r="K128" s="1167"/>
      <c r="L128" s="1167"/>
      <c r="M128" s="1167"/>
      <c r="N128" s="1165"/>
      <c r="O128" s="1167"/>
      <c r="P128" s="53"/>
      <c r="Q128" s="744"/>
      <c r="R128" s="744"/>
      <c r="W128" s="745"/>
      <c r="X128" s="16"/>
      <c r="Y128" s="16"/>
      <c r="Z128" s="16"/>
      <c r="AA128" s="16"/>
      <c r="AB128" s="16"/>
      <c r="AC128" s="16"/>
      <c r="AD128" s="16"/>
      <c r="AE128" s="16"/>
      <c r="AF128" s="16"/>
      <c r="AG128" s="16"/>
      <c r="AH128" s="16"/>
      <c r="AI128" s="16"/>
      <c r="AJ128" s="16"/>
      <c r="AK128" s="16"/>
      <c r="AL128" s="16"/>
      <c r="AM128" s="16"/>
      <c r="AN128" s="16"/>
      <c r="AO128" s="16"/>
      <c r="AP128" s="16"/>
      <c r="AQ128" s="16"/>
      <c r="AR128" s="34">
        <v>0</v>
      </c>
    </row>
    <row r="129" spans="1:44" s="34" customFormat="1" ht="17.25" hidden="1" customHeight="1">
      <c r="A129" s="185"/>
      <c r="D129" s="1180"/>
      <c r="E129" s="1169"/>
      <c r="F129" s="1182"/>
      <c r="G129" s="1169"/>
      <c r="H129" s="1171"/>
      <c r="I129" s="1173"/>
      <c r="J129" s="1176"/>
      <c r="K129" s="1167"/>
      <c r="L129" s="744"/>
      <c r="M129" s="744"/>
      <c r="N129" s="744"/>
      <c r="O129" s="744"/>
      <c r="P129" s="744"/>
      <c r="Q129" s="744"/>
      <c r="R129" s="744"/>
      <c r="W129" s="745"/>
      <c r="X129" s="16"/>
      <c r="Y129" s="16"/>
      <c r="Z129" s="16"/>
      <c r="AA129" s="16"/>
      <c r="AB129" s="16"/>
      <c r="AC129" s="16"/>
      <c r="AD129" s="16"/>
      <c r="AE129" s="16"/>
      <c r="AF129" s="16"/>
      <c r="AG129" s="16"/>
      <c r="AH129" s="16"/>
      <c r="AI129" s="16"/>
      <c r="AJ129" s="16"/>
      <c r="AK129" s="16"/>
      <c r="AL129" s="16"/>
      <c r="AM129" s="16"/>
      <c r="AN129" s="16"/>
      <c r="AO129" s="16"/>
      <c r="AP129" s="16"/>
      <c r="AQ129" s="16"/>
      <c r="AR129" s="34">
        <v>0</v>
      </c>
    </row>
    <row r="130" spans="1:44" s="34" customFormat="1" ht="17.25" hidden="1" customHeight="1">
      <c r="A130" s="185"/>
      <c r="D130" s="1180"/>
      <c r="E130" s="1169"/>
      <c r="F130" s="1183"/>
      <c r="G130" s="1169"/>
      <c r="H130" s="746"/>
      <c r="I130" s="747"/>
      <c r="J130" s="747"/>
      <c r="K130" s="747"/>
      <c r="L130" s="747"/>
      <c r="M130" s="747"/>
      <c r="N130" s="747"/>
      <c r="O130" s="747"/>
      <c r="P130" s="747"/>
      <c r="Q130" s="747"/>
      <c r="R130" s="747"/>
      <c r="S130" s="748"/>
      <c r="T130" s="748"/>
      <c r="U130" s="748"/>
      <c r="V130" s="748"/>
      <c r="W130" s="749"/>
      <c r="X130" s="16"/>
      <c r="Y130" s="16"/>
      <c r="Z130" s="16"/>
      <c r="AA130" s="16"/>
      <c r="AB130" s="16"/>
      <c r="AC130" s="16"/>
      <c r="AD130" s="16"/>
      <c r="AE130" s="16"/>
      <c r="AF130" s="16"/>
      <c r="AG130" s="16"/>
      <c r="AH130" s="16"/>
      <c r="AI130" s="16"/>
      <c r="AJ130" s="16"/>
      <c r="AK130" s="16"/>
      <c r="AL130" s="16"/>
      <c r="AM130" s="16"/>
      <c r="AN130" s="16"/>
      <c r="AO130" s="16"/>
      <c r="AP130" s="16"/>
      <c r="AQ130" s="16"/>
      <c r="AR130" s="34">
        <v>0</v>
      </c>
    </row>
    <row r="131" spans="1:44" s="34" customFormat="1" ht="17.25" hidden="1" customHeight="1">
      <c r="A131" s="185"/>
      <c r="C131" s="74"/>
      <c r="D131" s="1179">
        <v>3</v>
      </c>
      <c r="E131" s="1168" t="s">
        <v>274</v>
      </c>
      <c r="F131" s="1181" t="s">
        <v>19</v>
      </c>
      <c r="G131" s="1168"/>
      <c r="H131" s="1170"/>
      <c r="I131" s="1172"/>
      <c r="J131" s="1174"/>
      <c r="K131" s="1166"/>
      <c r="L131" s="1166"/>
      <c r="M131" s="1166"/>
      <c r="N131" s="1177"/>
      <c r="O131" s="1166"/>
      <c r="P131" s="1166"/>
      <c r="Q131" s="1166"/>
      <c r="R131" s="1164"/>
      <c r="S131" s="1166"/>
      <c r="T131" s="801"/>
      <c r="U131" s="801"/>
      <c r="V131" s="800"/>
      <c r="W131" s="743"/>
      <c r="X131" s="728"/>
      <c r="Y131" s="728"/>
      <c r="Z131" s="728"/>
      <c r="AA131" s="728"/>
      <c r="AB131" s="728"/>
      <c r="AC131" s="728" t="s">
        <v>275</v>
      </c>
      <c r="AD131" s="728" t="s">
        <v>276</v>
      </c>
      <c r="AE131" s="728" t="s">
        <v>277</v>
      </c>
      <c r="AF131" s="728" t="s">
        <v>278</v>
      </c>
      <c r="AG131" s="728"/>
      <c r="AH131" s="728" t="str">
        <f>IF($E$131=0,"",$E$131)</f>
        <v>Тариф на подключение (технологическое присоединение) к централизованной системе водоотведения</v>
      </c>
      <c r="AI131" s="728" t="str">
        <f>IF($G$131=0,"",$G$131)</f>
        <v/>
      </c>
      <c r="AJ131" s="728" t="str">
        <f>IF($J$131=0,"",$J$131)</f>
        <v/>
      </c>
      <c r="AK131" s="728" t="str">
        <f>IF($K$131="нет","без дифференциации",IF($N$131=0,"",$N$131))</f>
        <v/>
      </c>
      <c r="AL131" s="728" t="str">
        <f>IF($O$131="нет","без дифференциации",IF($R$131=0,"",$R$131))</f>
        <v/>
      </c>
      <c r="AM131" s="728" t="str">
        <f>IF($S$131="нет","без дифференциации",IF($V$131=0,"",$V$131))</f>
        <v/>
      </c>
      <c r="AN131" s="972">
        <f>$I$131</f>
        <v>0</v>
      </c>
      <c r="AO131" s="728" t="str">
        <f>$I$131&amp;"."&amp;$M$131</f>
        <v>.</v>
      </c>
      <c r="AP131" s="16" t="str">
        <f>$I$131&amp;"."&amp;$M$131&amp;"."&amp;$Q$131</f>
        <v>..</v>
      </c>
      <c r="AQ131" s="16" t="str">
        <f>$I$131&amp;"."&amp;$M$131&amp;"."&amp;$Q$131&amp;"."&amp;$U$131</f>
        <v>...</v>
      </c>
      <c r="AR131" s="34">
        <v>0</v>
      </c>
    </row>
    <row r="132" spans="1:44" s="34" customFormat="1" ht="17.25" hidden="1" customHeight="1">
      <c r="A132" s="185"/>
      <c r="D132" s="1179"/>
      <c r="E132" s="1168"/>
      <c r="F132" s="1182"/>
      <c r="G132" s="1168"/>
      <c r="H132" s="1171"/>
      <c r="I132" s="1173"/>
      <c r="J132" s="1175"/>
      <c r="K132" s="1167"/>
      <c r="L132" s="1167"/>
      <c r="M132" s="1167"/>
      <c r="N132" s="1178"/>
      <c r="O132" s="1167"/>
      <c r="P132" s="1167"/>
      <c r="Q132" s="1167"/>
      <c r="R132" s="1165"/>
      <c r="S132" s="1167"/>
      <c r="T132" s="744"/>
      <c r="U132" s="744"/>
      <c r="V132" s="744"/>
      <c r="W132" s="745"/>
      <c r="X132" s="16"/>
      <c r="Y132" s="16"/>
      <c r="Z132" s="16"/>
      <c r="AA132" s="16"/>
      <c r="AB132" s="16"/>
      <c r="AC132" s="16"/>
      <c r="AD132" s="16"/>
      <c r="AE132" s="16"/>
      <c r="AF132" s="16"/>
      <c r="AG132" s="16"/>
      <c r="AH132" s="16"/>
      <c r="AI132" s="16"/>
      <c r="AJ132" s="16"/>
      <c r="AK132" s="16"/>
      <c r="AL132" s="16"/>
      <c r="AM132" s="16"/>
      <c r="AN132" s="16"/>
      <c r="AO132" s="16"/>
      <c r="AP132" s="16"/>
      <c r="AQ132" s="16"/>
      <c r="AR132" s="34">
        <v>0</v>
      </c>
    </row>
    <row r="133" spans="1:44" s="34" customFormat="1" ht="17.25" hidden="1" customHeight="1">
      <c r="A133" s="185"/>
      <c r="D133" s="1180"/>
      <c r="E133" s="1169"/>
      <c r="F133" s="1182"/>
      <c r="G133" s="1169"/>
      <c r="H133" s="1171"/>
      <c r="I133" s="1173"/>
      <c r="J133" s="1176"/>
      <c r="K133" s="1167"/>
      <c r="L133" s="1167"/>
      <c r="M133" s="1167"/>
      <c r="N133" s="1165"/>
      <c r="O133" s="1167"/>
      <c r="P133" s="53"/>
      <c r="Q133" s="744"/>
      <c r="R133" s="744"/>
      <c r="W133" s="745"/>
      <c r="X133" s="16"/>
      <c r="Y133" s="16"/>
      <c r="Z133" s="16"/>
      <c r="AA133" s="16"/>
      <c r="AB133" s="16"/>
      <c r="AC133" s="16"/>
      <c r="AD133" s="16"/>
      <c r="AE133" s="16"/>
      <c r="AF133" s="16"/>
      <c r="AG133" s="16"/>
      <c r="AH133" s="16"/>
      <c r="AI133" s="16"/>
      <c r="AJ133" s="16"/>
      <c r="AK133" s="16"/>
      <c r="AL133" s="16"/>
      <c r="AM133" s="16"/>
      <c r="AN133" s="16"/>
      <c r="AO133" s="16"/>
      <c r="AP133" s="16"/>
      <c r="AQ133" s="16"/>
      <c r="AR133" s="34">
        <v>0</v>
      </c>
    </row>
    <row r="134" spans="1:44" s="34" customFormat="1" ht="17.25" hidden="1" customHeight="1">
      <c r="A134" s="185"/>
      <c r="D134" s="1180"/>
      <c r="E134" s="1169"/>
      <c r="F134" s="1182"/>
      <c r="G134" s="1169"/>
      <c r="H134" s="1171"/>
      <c r="I134" s="1173"/>
      <c r="J134" s="1176"/>
      <c r="K134" s="1167"/>
      <c r="L134" s="744"/>
      <c r="M134" s="744"/>
      <c r="N134" s="744"/>
      <c r="O134" s="744"/>
      <c r="P134" s="744"/>
      <c r="Q134" s="744"/>
      <c r="R134" s="744"/>
      <c r="W134" s="745"/>
      <c r="X134" s="16"/>
      <c r="Y134" s="16"/>
      <c r="Z134" s="16"/>
      <c r="AA134" s="16"/>
      <c r="AB134" s="16"/>
      <c r="AC134" s="16"/>
      <c r="AD134" s="16"/>
      <c r="AE134" s="16"/>
      <c r="AF134" s="16"/>
      <c r="AG134" s="16"/>
      <c r="AH134" s="16"/>
      <c r="AI134" s="16"/>
      <c r="AJ134" s="16"/>
      <c r="AK134" s="16"/>
      <c r="AL134" s="16"/>
      <c r="AM134" s="16"/>
      <c r="AN134" s="16"/>
      <c r="AO134" s="16"/>
      <c r="AP134" s="16"/>
      <c r="AQ134" s="16"/>
      <c r="AR134" s="34">
        <v>0</v>
      </c>
    </row>
    <row r="135" spans="1:44" s="34" customFormat="1" ht="17.25" hidden="1" customHeight="1">
      <c r="A135" s="185"/>
      <c r="D135" s="1180"/>
      <c r="E135" s="1169"/>
      <c r="F135" s="1183"/>
      <c r="G135" s="1169"/>
      <c r="H135" s="746"/>
      <c r="I135" s="747"/>
      <c r="J135" s="747"/>
      <c r="K135" s="747"/>
      <c r="L135" s="747"/>
      <c r="M135" s="747"/>
      <c r="N135" s="747"/>
      <c r="O135" s="747"/>
      <c r="P135" s="747"/>
      <c r="Q135" s="747"/>
      <c r="R135" s="747"/>
      <c r="S135" s="748"/>
      <c r="T135" s="748"/>
      <c r="U135" s="748"/>
      <c r="V135" s="748"/>
      <c r="W135" s="749"/>
      <c r="X135" s="16"/>
      <c r="Y135" s="16"/>
      <c r="Z135" s="16"/>
      <c r="AA135" s="16"/>
      <c r="AB135" s="16"/>
      <c r="AC135" s="16"/>
      <c r="AD135" s="16"/>
      <c r="AE135" s="16"/>
      <c r="AF135" s="16"/>
      <c r="AG135" s="16"/>
      <c r="AH135" s="16"/>
      <c r="AI135" s="16"/>
      <c r="AJ135" s="16"/>
      <c r="AK135" s="16"/>
      <c r="AL135" s="16"/>
      <c r="AM135" s="16"/>
      <c r="AN135" s="16"/>
      <c r="AO135" s="16"/>
      <c r="AP135" s="16"/>
      <c r="AQ135" s="16"/>
      <c r="AR135" s="34">
        <v>0</v>
      </c>
    </row>
    <row r="136" spans="1:44" ht="11.45" customHeight="1">
      <c r="AR136" s="34">
        <v>11</v>
      </c>
    </row>
    <row r="137" spans="1:44" ht="11.45" customHeight="1">
      <c r="AR137" s="34">
        <v>11</v>
      </c>
    </row>
    <row r="138" spans="1:44" ht="11.45" customHeight="1">
      <c r="AR138" s="34">
        <v>11</v>
      </c>
    </row>
    <row r="139" spans="1:44" ht="11.45" customHeight="1">
      <c r="AR139" s="34">
        <v>11</v>
      </c>
    </row>
    <row r="140" spans="1:44" ht="11.45" customHeight="1">
      <c r="AR140" s="34">
        <v>11</v>
      </c>
    </row>
    <row r="141" spans="1:44" ht="11.45" customHeight="1">
      <c r="AR141" s="34">
        <v>11</v>
      </c>
    </row>
    <row r="142" spans="1:44" ht="11.45" customHeight="1">
      <c r="AR142" s="34">
        <v>11</v>
      </c>
    </row>
    <row r="143" spans="1:44" ht="11.45" customHeight="1">
      <c r="AR143" s="34">
        <v>11</v>
      </c>
    </row>
    <row r="144" spans="1:44" ht="11.45" customHeight="1">
      <c r="AR144" s="34">
        <v>11</v>
      </c>
    </row>
    <row r="145" spans="1:44" ht="11.45" customHeight="1">
      <c r="AR145" s="34">
        <v>11</v>
      </c>
    </row>
    <row r="146" spans="1:44" ht="11.25" hidden="1" customHeight="1">
      <c r="A146" s="66" t="s">
        <v>80</v>
      </c>
      <c r="B146" s="66">
        <v>0</v>
      </c>
      <c r="C146" s="34">
        <v>3</v>
      </c>
      <c r="D146" s="34">
        <v>6</v>
      </c>
      <c r="E146" s="34">
        <v>42</v>
      </c>
      <c r="F146" s="34">
        <v>14</v>
      </c>
      <c r="G146" s="34">
        <v>42</v>
      </c>
      <c r="H146" s="34">
        <v>3</v>
      </c>
      <c r="I146" s="34">
        <v>5</v>
      </c>
      <c r="J146" s="34">
        <v>47</v>
      </c>
      <c r="K146" s="34">
        <v>3</v>
      </c>
      <c r="L146" s="34">
        <v>3</v>
      </c>
      <c r="M146" s="34">
        <v>5</v>
      </c>
      <c r="N146" s="34">
        <v>28</v>
      </c>
      <c r="O146" s="34">
        <v>3</v>
      </c>
      <c r="P146" s="34">
        <v>3</v>
      </c>
      <c r="Q146" s="34">
        <v>5</v>
      </c>
      <c r="R146" s="34">
        <v>34</v>
      </c>
      <c r="S146" s="34">
        <v>0</v>
      </c>
      <c r="T146" s="34">
        <v>0</v>
      </c>
      <c r="U146" s="34">
        <v>0</v>
      </c>
      <c r="V146" s="34">
        <v>0</v>
      </c>
      <c r="W146" s="34">
        <v>30</v>
      </c>
      <c r="X146" s="34">
        <v>3</v>
      </c>
      <c r="Y146" s="16">
        <v>0</v>
      </c>
      <c r="Z146" s="16">
        <v>0</v>
      </c>
      <c r="AA146" s="16">
        <v>0</v>
      </c>
      <c r="AB146" s="16">
        <v>0</v>
      </c>
      <c r="AC146" s="16">
        <v>0</v>
      </c>
      <c r="AD146" s="16">
        <v>0</v>
      </c>
      <c r="AE146" s="16">
        <v>0</v>
      </c>
      <c r="AF146" s="16">
        <v>0</v>
      </c>
      <c r="AG146" s="16">
        <v>0</v>
      </c>
      <c r="AH146" s="16">
        <v>0</v>
      </c>
      <c r="AI146" s="16">
        <v>0</v>
      </c>
      <c r="AJ146" s="16">
        <v>0</v>
      </c>
      <c r="AK146" s="16">
        <v>0</v>
      </c>
      <c r="AL146" s="16">
        <v>0</v>
      </c>
      <c r="AM146" s="16">
        <v>0</v>
      </c>
      <c r="AN146" s="16">
        <v>0</v>
      </c>
      <c r="AO146" s="16">
        <v>0</v>
      </c>
      <c r="AP146" s="16">
        <v>0</v>
      </c>
      <c r="AQ146" s="16">
        <v>0</v>
      </c>
      <c r="AR146" s="34">
        <v>11</v>
      </c>
    </row>
  </sheetData>
  <sheetProtection formatColumns="0" formatRows="0" insertRows="0" deleteColumns="0" deleteRows="0" sort="0" autoFilter="0"/>
  <mergeCells count="380">
    <mergeCell ref="W84:W85"/>
    <mergeCell ref="O84:O86"/>
    <mergeCell ref="P84:P85"/>
    <mergeCell ref="Q84:Q85"/>
    <mergeCell ref="R84:R85"/>
    <mergeCell ref="N58:N60"/>
    <mergeCell ref="O58:O60"/>
    <mergeCell ref="P58:P59"/>
    <mergeCell ref="Q58:Q59"/>
    <mergeCell ref="R58:R59"/>
    <mergeCell ref="S58:S59"/>
    <mergeCell ref="N63:N65"/>
    <mergeCell ref="O63:O65"/>
    <mergeCell ref="P63:P64"/>
    <mergeCell ref="Q63:Q64"/>
    <mergeCell ref="R63:R64"/>
    <mergeCell ref="G58:G62"/>
    <mergeCell ref="H58:H61"/>
    <mergeCell ref="I58:I61"/>
    <mergeCell ref="J58:J61"/>
    <mergeCell ref="K58:K61"/>
    <mergeCell ref="L58:L60"/>
    <mergeCell ref="G63:G67"/>
    <mergeCell ref="H63:H66"/>
    <mergeCell ref="I63:I66"/>
    <mergeCell ref="J63:J66"/>
    <mergeCell ref="K63:K66"/>
    <mergeCell ref="L63:L65"/>
    <mergeCell ref="D58:D62"/>
    <mergeCell ref="M99:M101"/>
    <mergeCell ref="M58:M60"/>
    <mergeCell ref="M84:M86"/>
    <mergeCell ref="H84:H87"/>
    <mergeCell ref="I84:I87"/>
    <mergeCell ref="J84:J87"/>
    <mergeCell ref="K84:K87"/>
    <mergeCell ref="L84:L86"/>
    <mergeCell ref="M94:M96"/>
    <mergeCell ref="K79:K82"/>
    <mergeCell ref="F99:F103"/>
    <mergeCell ref="G99:G103"/>
    <mergeCell ref="H99:H102"/>
    <mergeCell ref="I99:I102"/>
    <mergeCell ref="J99:J102"/>
    <mergeCell ref="K99:K102"/>
    <mergeCell ref="L99:L101"/>
    <mergeCell ref="M63:M65"/>
    <mergeCell ref="D63:D67"/>
    <mergeCell ref="E63:E67"/>
    <mergeCell ref="F63:F67"/>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S89:S90"/>
    <mergeCell ref="N89:N91"/>
    <mergeCell ref="O89:O91"/>
    <mergeCell ref="P89:P90"/>
    <mergeCell ref="Q89:Q90"/>
    <mergeCell ref="R89:R90"/>
    <mergeCell ref="N79:N81"/>
    <mergeCell ref="O79:O81"/>
    <mergeCell ref="P79:P80"/>
    <mergeCell ref="Q79:Q80"/>
    <mergeCell ref="R79:R80"/>
    <mergeCell ref="S79:S80"/>
    <mergeCell ref="N84:N86"/>
    <mergeCell ref="S84:S85"/>
    <mergeCell ref="W9:W10"/>
    <mergeCell ref="O9:R9"/>
    <mergeCell ref="K9:N9"/>
    <mergeCell ref="T11:U11"/>
    <mergeCell ref="S9:V9"/>
    <mergeCell ref="T10:U10"/>
    <mergeCell ref="D79:D83"/>
    <mergeCell ref="E79:E83"/>
    <mergeCell ref="D84:D88"/>
    <mergeCell ref="E84:E88"/>
    <mergeCell ref="F84:F88"/>
    <mergeCell ref="G84:G88"/>
    <mergeCell ref="F79:F83"/>
    <mergeCell ref="G79:G83"/>
    <mergeCell ref="H79:H82"/>
    <mergeCell ref="I79:I82"/>
    <mergeCell ref="J79:J82"/>
    <mergeCell ref="K13:K16"/>
    <mergeCell ref="G18:G22"/>
    <mergeCell ref="K18:K21"/>
    <mergeCell ref="N28:N30"/>
    <mergeCell ref="S63:S64"/>
    <mergeCell ref="E58:E62"/>
    <mergeCell ref="F58:F62"/>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F110:F114"/>
    <mergeCell ref="G110:G114"/>
    <mergeCell ref="H110:H113"/>
    <mergeCell ref="I110:I113"/>
    <mergeCell ref="J110:J113"/>
    <mergeCell ref="K110:K113"/>
    <mergeCell ref="L110:L112"/>
    <mergeCell ref="O121:O123"/>
    <mergeCell ref="H121:H124"/>
    <mergeCell ref="I121:I124"/>
    <mergeCell ref="R121:R122"/>
    <mergeCell ref="P126:P127"/>
    <mergeCell ref="Q126:Q127"/>
    <mergeCell ref="R126:R127"/>
    <mergeCell ref="S121:S122"/>
    <mergeCell ref="D121:D125"/>
    <mergeCell ref="E121:E125"/>
    <mergeCell ref="F121:F125"/>
    <mergeCell ref="G121:G125"/>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J121:J124"/>
    <mergeCell ref="K121:K124"/>
    <mergeCell ref="L121:L123"/>
    <mergeCell ref="M121:M123"/>
    <mergeCell ref="N121:N123"/>
    <mergeCell ref="N99:N101"/>
    <mergeCell ref="O99:O101"/>
    <mergeCell ref="P99:P100"/>
    <mergeCell ref="Q99:Q100"/>
    <mergeCell ref="P121:P122"/>
    <mergeCell ref="Q121:Q122"/>
    <mergeCell ref="M110:M112"/>
    <mergeCell ref="N110:N112"/>
    <mergeCell ref="O110:O112"/>
    <mergeCell ref="P110:P111"/>
    <mergeCell ref="Q110:Q111"/>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R110:R111"/>
    <mergeCell ref="S110:S111"/>
    <mergeCell ref="D110:D114"/>
    <mergeCell ref="E110:E114"/>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S84:S85 O84 K8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84:W84 R84:R85 J84:J85">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N86"/>
  </dataValidations>
  <pageMargins left="0.70866141732283472" right="0.70866141732283472" top="0.74803149606299213" bottom="0.74803149606299213" header="0.31496062992125984" footer="0.31496062992125984"/>
  <pageSetup paperSize="9" scale="54"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7" hidden="1" customWidth="1"/>
    <col min="2" max="2" width="9.140625" style="10" hidden="1" customWidth="1"/>
    <col min="3" max="3" width="4" style="84" customWidth="1"/>
    <col min="4" max="4" width="6" style="10" customWidth="1"/>
    <col min="5" max="5" width="47" style="10" customWidth="1"/>
    <col min="6" max="6" width="9" style="10" customWidth="1"/>
    <col min="7" max="7" width="25.7109375" style="10" hidden="1" customWidth="1"/>
    <col min="8" max="8" width="34" style="10" hidden="1" customWidth="1"/>
    <col min="9" max="9" width="25.7109375" style="10" customWidth="1"/>
    <col min="10" max="10" width="33" style="10" customWidth="1"/>
    <col min="11" max="11" width="50" style="60" customWidth="1"/>
    <col min="12" max="20" width="10" style="10" customWidth="1"/>
    <col min="21" max="21" width="10" style="299" customWidth="1"/>
    <col min="22" max="22" width="10.5703125" style="10" hidden="1"/>
  </cols>
  <sheetData>
    <row r="1" spans="1:22" s="60" customFormat="1" ht="22.5" hidden="1" customHeight="1">
      <c r="C1" s="298"/>
      <c r="G1" s="60">
        <v>4</v>
      </c>
      <c r="I1" s="60">
        <v>4</v>
      </c>
      <c r="U1" s="233"/>
      <c r="V1" s="60" t="s">
        <v>14</v>
      </c>
    </row>
    <row r="2" spans="1:22" s="10" customFormat="1" ht="15" hidden="1" customHeight="1">
      <c r="A2" s="7"/>
      <c r="C2" s="84"/>
      <c r="D2" s="53"/>
      <c r="E2" s="380"/>
      <c r="F2" s="56"/>
      <c r="G2" s="76"/>
      <c r="H2" s="76"/>
      <c r="I2" s="76"/>
      <c r="J2" s="76"/>
      <c r="U2" s="299"/>
      <c r="V2" s="10">
        <v>0</v>
      </c>
    </row>
    <row r="3" spans="1:22" s="60" customFormat="1" ht="15" hidden="1" customHeight="1">
      <c r="C3" s="298"/>
      <c r="U3" s="233"/>
      <c r="V3" s="60">
        <v>0</v>
      </c>
    </row>
    <row r="4" spans="1:22" ht="15.75" customHeight="1">
      <c r="V4" s="10">
        <v>15</v>
      </c>
    </row>
    <row r="5" spans="1:22" ht="66" customHeight="1">
      <c r="D5" s="1264" t="s">
        <v>1157</v>
      </c>
      <c r="E5" s="1264"/>
      <c r="F5" s="1264"/>
      <c r="G5" s="1264"/>
      <c r="H5" s="1264"/>
      <c r="I5" s="1264"/>
      <c r="J5" s="1264"/>
      <c r="V5" s="10">
        <v>63</v>
      </c>
    </row>
    <row r="6" spans="1:22" ht="15.75" customHeight="1">
      <c r="D6" s="1236" t="str">
        <f>IF(org=0,"Не определено",org)</f>
        <v>Общество с ограниченной ответственностью "Березовский рудник"</v>
      </c>
      <c r="E6" s="1236"/>
      <c r="F6" s="1236"/>
      <c r="G6" s="1236"/>
      <c r="H6" s="1236"/>
      <c r="I6" s="1236"/>
      <c r="J6" s="1236"/>
      <c r="V6" s="10">
        <v>15</v>
      </c>
    </row>
    <row r="7" spans="1:22" ht="15.75" customHeight="1">
      <c r="D7" s="432"/>
      <c r="G7" s="60">
        <v>22</v>
      </c>
      <c r="I7" s="60">
        <v>1</v>
      </c>
      <c r="J7" s="432"/>
      <c r="V7" s="10">
        <v>15</v>
      </c>
    </row>
    <row r="8" spans="1:22" s="10" customFormat="1" ht="1.1499999999999999" customHeight="1">
      <c r="A8" s="7"/>
      <c r="C8" s="84"/>
      <c r="G8" s="60"/>
      <c r="H8" s="432"/>
      <c r="I8" s="60" t="s">
        <v>115</v>
      </c>
      <c r="J8" s="432"/>
      <c r="K8" s="60"/>
      <c r="U8" s="299"/>
      <c r="V8" s="10">
        <v>1</v>
      </c>
    </row>
    <row r="9" spans="1:22" ht="15.75" customHeight="1">
      <c r="D9" s="406"/>
      <c r="E9" s="1370" t="s">
        <v>103</v>
      </c>
      <c r="F9" s="1371"/>
      <c r="G9" s="1395" t="str">
        <f>IF(G8="","",INDEX(DIFFERENTIATION_UNMERGE_VD,MATCH(G8,DIFFERENTIATION_ID_DIFF,0)))</f>
        <v/>
      </c>
      <c r="H9" s="1396"/>
      <c r="I9" s="1395">
        <f>IF(I8="","",INDEX(DIFFERENTIATION_UNMERGE_VD,MATCH(I8,DIFFERENTIATION_ID_DIFF,0)))</f>
        <v>0</v>
      </c>
      <c r="J9" s="1396"/>
      <c r="K9" s="1216" t="s">
        <v>301</v>
      </c>
      <c r="V9" s="10">
        <v>15</v>
      </c>
    </row>
    <row r="10" spans="1:22" s="10" customFormat="1" ht="15.75" customHeight="1">
      <c r="A10" s="7"/>
      <c r="C10" s="84"/>
      <c r="D10" s="406"/>
      <c r="E10" s="1370" t="s">
        <v>563</v>
      </c>
      <c r="F10" s="1371"/>
      <c r="G10" s="1395" t="str">
        <f>IF(G8="","",INDEX(DIFFERENTIATION_UNMERGE_AREA,MATCH(G8,DIFFERENTIATION_ID_DIFF,0)))</f>
        <v/>
      </c>
      <c r="H10" s="1396"/>
      <c r="I10" s="1395" t="str">
        <f>IF(I8="","",INDEX(DIFFERENTIATION_UNMERGE_AREA,MATCH(I8,DIFFERENTIATION_ID_DIFF,0)))</f>
        <v/>
      </c>
      <c r="J10" s="1396"/>
      <c r="K10" s="1221"/>
      <c r="U10" s="299"/>
      <c r="V10" s="10">
        <v>15</v>
      </c>
    </row>
    <row r="11" spans="1:22" s="10" customFormat="1" ht="15.75" customHeight="1">
      <c r="A11" s="7"/>
      <c r="C11" s="84"/>
      <c r="D11" s="406"/>
      <c r="E11" s="1370" t="s">
        <v>564</v>
      </c>
      <c r="F11" s="1371"/>
      <c r="G11" s="1395" t="str">
        <f>IF(G8="","",INDEX(DIFFERENTIATION_UNMERGE_SYSTEM,MATCH(G8,DIFFERENTIATION_ID_DIFF,0)))</f>
        <v/>
      </c>
      <c r="H11" s="1396"/>
      <c r="I11" s="1395" t="str">
        <f>IF(I8="","",INDEX(DIFFERENTIATION_UNMERGE_SYSTEM,MATCH(I8,DIFFERENTIATION_ID_DIFF,0)))</f>
        <v>без дифференциации</v>
      </c>
      <c r="J11" s="1396"/>
      <c r="K11" s="1221"/>
      <c r="U11" s="299"/>
      <c r="V11" s="10">
        <v>15</v>
      </c>
    </row>
    <row r="12" spans="1:22" s="10" customFormat="1" ht="15.75" customHeight="1">
      <c r="A12" s="7"/>
      <c r="C12" s="84"/>
      <c r="D12" s="1372" t="s">
        <v>300</v>
      </c>
      <c r="E12" s="1373"/>
      <c r="F12" s="1373"/>
      <c r="G12" s="509"/>
      <c r="H12" s="509"/>
      <c r="I12" s="509"/>
      <c r="J12" s="509"/>
      <c r="K12" s="1221"/>
      <c r="U12" s="299"/>
      <c r="V12" s="10">
        <v>15</v>
      </c>
    </row>
    <row r="13" spans="1:22" ht="35.65" customHeight="1">
      <c r="D13" s="40" t="s">
        <v>86</v>
      </c>
      <c r="E13" s="40" t="s">
        <v>302</v>
      </c>
      <c r="F13" s="40" t="s">
        <v>565</v>
      </c>
      <c r="G13" s="386" t="s">
        <v>303</v>
      </c>
      <c r="H13" s="40" t="s">
        <v>390</v>
      </c>
      <c r="I13" s="386" t="s">
        <v>303</v>
      </c>
      <c r="J13" s="40" t="s">
        <v>390</v>
      </c>
      <c r="K13" s="1269"/>
      <c r="V13" s="10">
        <v>34</v>
      </c>
    </row>
    <row r="14" spans="1:22" ht="15" hidden="1" customHeight="1">
      <c r="D14" s="341" t="s">
        <v>107</v>
      </c>
      <c r="E14" s="341" t="s">
        <v>108</v>
      </c>
      <c r="F14" s="341" t="s">
        <v>88</v>
      </c>
      <c r="G14" s="84" t="str">
        <f>G1&amp;".1"</f>
        <v>4.1</v>
      </c>
      <c r="H14" s="84"/>
      <c r="I14" s="84" t="str">
        <f>I1&amp;".1"</f>
        <v>4.1</v>
      </c>
      <c r="J14" s="84"/>
      <c r="K14" s="64"/>
      <c r="V14" s="10">
        <v>0</v>
      </c>
    </row>
    <row r="15" spans="1:22" ht="22.5" hidden="1" customHeight="1">
      <c r="A15" s="10"/>
      <c r="C15" s="74"/>
      <c r="D15" s="40">
        <v>1</v>
      </c>
      <c r="E15" s="150" t="s">
        <v>807</v>
      </c>
      <c r="F15" s="40" t="s">
        <v>808</v>
      </c>
      <c r="G15" s="381"/>
      <c r="H15" s="381"/>
      <c r="I15" s="381"/>
      <c r="J15" s="381"/>
      <c r="K15" s="64" t="s">
        <v>809</v>
      </c>
      <c r="V15" s="10">
        <v>0</v>
      </c>
    </row>
    <row r="16" spans="1:22" ht="22.5" hidden="1" customHeight="1">
      <c r="A16" s="10"/>
      <c r="C16" s="74"/>
      <c r="D16" s="40">
        <v>2</v>
      </c>
      <c r="E16" s="150" t="s">
        <v>810</v>
      </c>
      <c r="F16" s="40" t="s">
        <v>811</v>
      </c>
      <c r="G16" s="381"/>
      <c r="H16" s="381"/>
      <c r="I16" s="381"/>
      <c r="J16" s="381"/>
      <c r="K16" s="64" t="s">
        <v>812</v>
      </c>
      <c r="V16" s="10">
        <v>0</v>
      </c>
    </row>
    <row r="17" spans="1:22" ht="123.75" hidden="1" customHeight="1">
      <c r="A17" s="10"/>
      <c r="C17" s="74"/>
      <c r="D17" s="40">
        <v>3</v>
      </c>
      <c r="E17" s="150" t="s">
        <v>1158</v>
      </c>
      <c r="F17" s="40" t="s">
        <v>306</v>
      </c>
      <c r="G17" s="381"/>
      <c r="H17" s="381"/>
      <c r="I17" s="381"/>
      <c r="J17" s="381"/>
      <c r="K17" s="64" t="s">
        <v>1159</v>
      </c>
      <c r="V17" s="10">
        <v>0</v>
      </c>
    </row>
    <row r="18" spans="1:22" ht="48.2" customHeight="1">
      <c r="A18" s="10"/>
      <c r="C18" s="74"/>
      <c r="D18" s="40">
        <v>3</v>
      </c>
      <c r="E18" s="150" t="s">
        <v>813</v>
      </c>
      <c r="F18" s="40" t="s">
        <v>306</v>
      </c>
      <c r="G18" s="40" t="s">
        <v>306</v>
      </c>
      <c r="H18" s="337" t="s">
        <v>306</v>
      </c>
      <c r="I18" s="40" t="s">
        <v>306</v>
      </c>
      <c r="J18" s="337" t="s">
        <v>306</v>
      </c>
      <c r="K18" s="64" t="s">
        <v>1160</v>
      </c>
      <c r="V18" s="10">
        <v>46</v>
      </c>
    </row>
    <row r="19" spans="1:22" ht="35.65" customHeight="1">
      <c r="A19" s="10"/>
      <c r="C19" s="74"/>
      <c r="D19" s="42" t="s">
        <v>324</v>
      </c>
      <c r="E19" s="320" t="s">
        <v>815</v>
      </c>
      <c r="F19" s="40" t="s">
        <v>816</v>
      </c>
      <c r="G19" s="465"/>
      <c r="H19" s="36"/>
      <c r="I19" s="465"/>
      <c r="J19" s="225"/>
      <c r="K19" s="382"/>
      <c r="V19" s="10">
        <v>34</v>
      </c>
    </row>
    <row r="20" spans="1:22" ht="35.65" customHeight="1">
      <c r="A20" s="10"/>
      <c r="C20" s="74"/>
      <c r="D20" s="42" t="s">
        <v>332</v>
      </c>
      <c r="E20" s="320" t="s">
        <v>817</v>
      </c>
      <c r="F20" s="40" t="s">
        <v>818</v>
      </c>
      <c r="G20" s="465"/>
      <c r="H20" s="36"/>
      <c r="I20" s="465"/>
      <c r="J20" s="36"/>
      <c r="K20" s="382"/>
      <c r="V20" s="10">
        <v>34</v>
      </c>
    </row>
    <row r="21" spans="1:22" ht="48.2" customHeight="1">
      <c r="A21" s="10"/>
      <c r="C21" s="74"/>
      <c r="D21" s="42" t="s">
        <v>334</v>
      </c>
      <c r="E21" s="320" t="s">
        <v>819</v>
      </c>
      <c r="F21" s="40" t="s">
        <v>570</v>
      </c>
      <c r="G21" s="383"/>
      <c r="H21" s="36"/>
      <c r="I21" s="383"/>
      <c r="J21" s="36"/>
      <c r="K21" s="382"/>
      <c r="V21" s="10">
        <v>46</v>
      </c>
    </row>
    <row r="22" spans="1:22" ht="67.5" hidden="1" customHeight="1">
      <c r="A22" s="10"/>
      <c r="C22" s="74"/>
      <c r="D22" s="40">
        <v>5</v>
      </c>
      <c r="E22" s="150" t="s">
        <v>1161</v>
      </c>
      <c r="F22" s="40" t="s">
        <v>557</v>
      </c>
      <c r="G22" s="384"/>
      <c r="H22" s="385"/>
      <c r="I22" s="384"/>
      <c r="J22" s="385"/>
      <c r="K22" s="64" t="s">
        <v>1162</v>
      </c>
      <c r="V22" s="10">
        <v>0</v>
      </c>
    </row>
    <row r="23" spans="1:22" ht="33.75" hidden="1" customHeight="1">
      <c r="C23" s="74"/>
      <c r="D23" s="40">
        <v>6</v>
      </c>
      <c r="E23" s="150" t="s">
        <v>1163</v>
      </c>
      <c r="F23" s="40" t="s">
        <v>1164</v>
      </c>
      <c r="G23" s="384"/>
      <c r="H23" s="384"/>
      <c r="I23" s="384"/>
      <c r="J23" s="384"/>
      <c r="K23" s="64" t="s">
        <v>1165</v>
      </c>
      <c r="V23" s="10">
        <v>0</v>
      </c>
    </row>
    <row r="24" spans="1:22" ht="15.75" customHeight="1">
      <c r="V24" s="10">
        <v>15</v>
      </c>
    </row>
    <row r="25" spans="1:22" ht="15.75" customHeight="1">
      <c r="V25" s="10">
        <v>15</v>
      </c>
    </row>
    <row r="26" spans="1:22" ht="15.75" customHeight="1">
      <c r="V26" s="10">
        <v>15</v>
      </c>
    </row>
    <row r="27" spans="1:22" ht="15.75" customHeight="1">
      <c r="V27" s="10">
        <v>15</v>
      </c>
    </row>
    <row r="28" spans="1:22" ht="15.75" customHeight="1">
      <c r="V28" s="10">
        <v>15</v>
      </c>
    </row>
    <row r="29" spans="1:22" ht="15.75" customHeight="1">
      <c r="J29" s="466"/>
      <c r="V29" s="10">
        <v>15</v>
      </c>
    </row>
    <row r="30" spans="1:22" ht="22.5" hidden="1" customHeight="1">
      <c r="A30" s="7" t="s">
        <v>80</v>
      </c>
      <c r="B30" s="10">
        <v>0</v>
      </c>
      <c r="C30" s="84">
        <v>4</v>
      </c>
      <c r="D30" s="10">
        <v>6</v>
      </c>
      <c r="E30" s="10">
        <v>47</v>
      </c>
      <c r="F30" s="10">
        <v>9</v>
      </c>
      <c r="G30" s="10">
        <v>0</v>
      </c>
      <c r="H30" s="10">
        <v>0</v>
      </c>
      <c r="I30" s="10">
        <v>25</v>
      </c>
      <c r="J30" s="10">
        <v>33</v>
      </c>
      <c r="K30" s="60">
        <v>50</v>
      </c>
      <c r="L30" s="10">
        <v>10</v>
      </c>
      <c r="M30" s="10">
        <v>10</v>
      </c>
      <c r="N30" s="10">
        <v>10</v>
      </c>
      <c r="O30" s="10">
        <v>10</v>
      </c>
      <c r="P30" s="10">
        <v>10</v>
      </c>
      <c r="Q30" s="10">
        <v>10</v>
      </c>
      <c r="R30" s="10">
        <v>10</v>
      </c>
      <c r="S30" s="10">
        <v>10</v>
      </c>
      <c r="T30" s="10">
        <v>10</v>
      </c>
      <c r="U30" s="299">
        <v>10</v>
      </c>
      <c r="V30" s="1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689" customWidth="1"/>
    <col min="2" max="2" width="11" customWidth="1"/>
    <col min="4" max="4" width="26.5703125" customWidth="1"/>
    <col min="5" max="5" width="36.85546875" style="33" customWidth="1"/>
    <col min="6" max="6" width="23.5703125" style="33" customWidth="1"/>
    <col min="7" max="7" width="31.42578125" style="33" customWidth="1"/>
    <col min="8" max="8" width="40.85546875" style="33" customWidth="1"/>
    <col min="9" max="9" width="14.5703125" style="33" customWidth="1"/>
    <col min="10" max="10" width="26.85546875" style="33" customWidth="1"/>
    <col min="11" max="11" width="50" style="33" customWidth="1"/>
    <col min="12" max="12" width="52.42578125" style="33" customWidth="1"/>
    <col min="13" max="13" width="10.7109375" style="33" customWidth="1"/>
    <col min="14" max="14" width="55.140625" style="33" customWidth="1"/>
    <col min="15" max="15" width="31.85546875" style="33" customWidth="1"/>
    <col min="16" max="16" width="23.85546875" style="33" customWidth="1"/>
    <col min="17" max="17" width="46.5703125" style="33" customWidth="1"/>
    <col min="18" max="18" width="24" style="33" customWidth="1"/>
    <col min="19" max="19" width="20.5703125" style="33" customWidth="1"/>
    <col min="20" max="20" width="22" style="33" customWidth="1"/>
    <col min="21" max="22" width="26.42578125" style="33" customWidth="1"/>
    <col min="23" max="23" width="8.28515625" style="33" hidden="1" customWidth="1"/>
    <col min="24" max="24" width="59.7109375" style="33" customWidth="1"/>
    <col min="25" max="25" width="49.140625" style="33" customWidth="1"/>
    <col min="26" max="26" width="11.140625" style="33" customWidth="1"/>
    <col min="27" max="30" width="29" style="33" customWidth="1"/>
    <col min="31" max="31" width="9.140625" style="33"/>
    <col min="32" max="32" width="34.7109375" style="33" customWidth="1"/>
    <col min="33" max="33" width="9.140625" style="33"/>
    <col min="34" max="35" width="34.42578125" style="33" customWidth="1"/>
    <col min="36" max="36" width="9.140625" style="33"/>
    <col min="37" max="37" width="24.5703125" style="33" customWidth="1"/>
    <col min="38" max="38" width="9.140625" style="33"/>
    <col min="39" max="39" width="26.140625" style="33" customWidth="1"/>
    <col min="40" max="40" width="1.7109375" style="33" customWidth="1"/>
    <col min="41" max="41" width="9.140625" style="33"/>
    <col min="42" max="43" width="47.85546875" style="33" customWidth="1"/>
    <col min="44" max="44" width="1.7109375" style="33" customWidth="1"/>
    <col min="45" max="45" width="21.42578125" style="33" customWidth="1"/>
    <col min="46" max="46" width="1.7109375" style="33" customWidth="1"/>
    <col min="47" max="47" width="31.28515625" style="33" customWidth="1"/>
    <col min="48" max="48" width="1.7109375" style="33" customWidth="1"/>
    <col min="49" max="50" width="9.140625" style="33"/>
    <col min="51" max="51" width="3.7109375" style="33" customWidth="1"/>
    <col min="52" max="52" width="60.85546875" style="33" customWidth="1"/>
    <col min="53" max="53" width="49.28515625" style="33" customWidth="1"/>
    <col min="54" max="54" width="35.140625" style="33" customWidth="1"/>
    <col min="55" max="55" width="9.140625" style="33"/>
    <col min="56" max="56" width="1.7109375" style="33" customWidth="1"/>
    <col min="57" max="57" width="12.5703125" style="624" customWidth="1"/>
    <col min="58" max="58" width="14.28515625" style="624" customWidth="1"/>
    <col min="59" max="59" width="30.7109375" style="33" customWidth="1"/>
    <col min="60" max="60" width="40.7109375" style="185" customWidth="1"/>
    <col min="61" max="61" width="15" style="185" customWidth="1"/>
    <col min="62" max="62" width="40.7109375" style="185" customWidth="1"/>
    <col min="63" max="63" width="2.7109375" style="185" customWidth="1"/>
    <col min="64" max="64" width="44.7109375" style="185" customWidth="1"/>
    <col min="65" max="65" width="2.7109375" style="185" customWidth="1"/>
    <col min="66" max="66" width="40.7109375" style="185" customWidth="1"/>
    <col min="67" max="68" width="9.140625" style="33"/>
    <col min="69" max="69" width="18.140625" style="33" customWidth="1"/>
    <col min="70" max="70" width="57.85546875" style="33" customWidth="1"/>
    <col min="71" max="71" width="1.7109375" style="33" customWidth="1"/>
    <col min="72" max="72" width="22.5703125" style="33" customWidth="1"/>
    <col min="73" max="73" width="57.85546875" style="33" customWidth="1"/>
    <col min="74" max="74" width="1.7109375" style="33" customWidth="1"/>
    <col min="75" max="75" width="22.5703125" style="33" customWidth="1"/>
    <col min="76" max="76" width="57.85546875" style="33" customWidth="1"/>
    <col min="77" max="77" width="1.7109375" style="33" customWidth="1"/>
    <col min="78" max="78" width="22.5703125" style="33" customWidth="1"/>
    <col min="79" max="79" width="57.85546875" style="33" customWidth="1"/>
    <col min="80" max="81" width="9.140625" style="33"/>
    <col min="82" max="82" width="49.5703125" style="33" customWidth="1"/>
  </cols>
  <sheetData>
    <row r="1" spans="1:79" s="802" customFormat="1" ht="11.25" customHeight="1">
      <c r="A1" s="625" t="s">
        <v>1166</v>
      </c>
      <c r="B1" s="625" t="s">
        <v>1167</v>
      </c>
      <c r="C1" s="625" t="s">
        <v>1168</v>
      </c>
      <c r="D1" s="625" t="s">
        <v>1169</v>
      </c>
      <c r="E1" s="625" t="s">
        <v>1170</v>
      </c>
      <c r="F1" s="625" t="s">
        <v>1171</v>
      </c>
      <c r="G1" s="625" t="s">
        <v>1172</v>
      </c>
      <c r="H1" s="625" t="s">
        <v>1173</v>
      </c>
      <c r="I1" s="625" t="s">
        <v>1174</v>
      </c>
      <c r="J1" s="625" t="s">
        <v>1175</v>
      </c>
      <c r="K1" s="625" t="s">
        <v>1176</v>
      </c>
      <c r="L1" s="625" t="s">
        <v>1177</v>
      </c>
      <c r="M1" s="625"/>
      <c r="N1" s="625" t="s">
        <v>1178</v>
      </c>
      <c r="O1" s="625" t="s">
        <v>1179</v>
      </c>
      <c r="P1" s="625" t="s">
        <v>1180</v>
      </c>
      <c r="Q1" s="625" t="s">
        <v>1181</v>
      </c>
      <c r="R1" s="625" t="s">
        <v>1182</v>
      </c>
      <c r="S1" s="625" t="s">
        <v>1183</v>
      </c>
      <c r="T1" s="625" t="s">
        <v>1184</v>
      </c>
      <c r="U1" s="625" t="s">
        <v>1185</v>
      </c>
      <c r="V1" s="625"/>
      <c r="W1" s="456" t="s">
        <v>1186</v>
      </c>
      <c r="X1" s="625" t="s">
        <v>1187</v>
      </c>
      <c r="Y1" s="625" t="s">
        <v>1188</v>
      </c>
      <c r="Z1" s="625"/>
      <c r="AA1" s="625" t="s">
        <v>1189</v>
      </c>
      <c r="AB1" s="625"/>
      <c r="AC1" s="625" t="s">
        <v>1190</v>
      </c>
      <c r="AD1" s="625"/>
      <c r="AF1" s="625" t="s">
        <v>1191</v>
      </c>
      <c r="AH1" s="625" t="s">
        <v>1192</v>
      </c>
      <c r="AI1" s="625" t="s">
        <v>1193</v>
      </c>
      <c r="AK1" s="625" t="s">
        <v>1194</v>
      </c>
      <c r="AM1" s="625" t="s">
        <v>1195</v>
      </c>
      <c r="AP1" s="625" t="s">
        <v>1196</v>
      </c>
      <c r="AQ1" s="625" t="s">
        <v>1197</v>
      </c>
      <c r="AS1" s="625" t="s">
        <v>1198</v>
      </c>
      <c r="AU1" s="625" t="s">
        <v>1199</v>
      </c>
      <c r="AW1" s="625" t="s">
        <v>1200</v>
      </c>
      <c r="AX1" s="625" t="s">
        <v>1201</v>
      </c>
      <c r="AZ1" s="665" t="s">
        <v>1202</v>
      </c>
      <c r="BB1" s="625" t="s">
        <v>1203</v>
      </c>
      <c r="BC1" s="625"/>
      <c r="BE1" s="625" t="s">
        <v>1204</v>
      </c>
      <c r="BF1" s="625" t="s">
        <v>1205</v>
      </c>
      <c r="BH1" s="627" t="s">
        <v>806</v>
      </c>
      <c r="BI1" s="185"/>
      <c r="BJ1" s="628" t="s">
        <v>1206</v>
      </c>
      <c r="BK1" s="185"/>
      <c r="BL1" s="629" t="s">
        <v>905</v>
      </c>
      <c r="BM1" s="185"/>
      <c r="BN1" s="630" t="s">
        <v>1207</v>
      </c>
    </row>
    <row r="2" spans="1:79" ht="11.25" customHeight="1">
      <c r="A2" s="33" t="s">
        <v>1208</v>
      </c>
      <c r="B2" s="631">
        <v>2000</v>
      </c>
      <c r="C2" s="631">
        <v>2022</v>
      </c>
      <c r="D2" s="631" t="s">
        <v>64</v>
      </c>
      <c r="E2" s="632" t="s">
        <v>1209</v>
      </c>
      <c r="F2" s="632" t="s">
        <v>1210</v>
      </c>
      <c r="G2" s="632" t="s">
        <v>1211</v>
      </c>
      <c r="H2" s="632" t="s">
        <v>53</v>
      </c>
      <c r="I2" s="632" t="s">
        <v>107</v>
      </c>
      <c r="J2" s="632" t="s">
        <v>1212</v>
      </c>
      <c r="K2" s="172" t="s">
        <v>1213</v>
      </c>
      <c r="L2" s="172"/>
      <c r="M2" s="172">
        <v>1</v>
      </c>
      <c r="N2" s="667" t="s">
        <v>1214</v>
      </c>
      <c r="O2" s="632" t="s">
        <v>1215</v>
      </c>
      <c r="P2" s="633" t="s">
        <v>37</v>
      </c>
      <c r="Q2" s="634" t="s">
        <v>495</v>
      </c>
      <c r="R2" s="58" t="s">
        <v>1216</v>
      </c>
      <c r="S2" s="58" t="s">
        <v>1217</v>
      </c>
      <c r="T2" s="635" t="s">
        <v>1218</v>
      </c>
      <c r="U2" s="172" t="s">
        <v>1219</v>
      </c>
      <c r="V2" s="636">
        <v>1</v>
      </c>
      <c r="W2" s="637"/>
      <c r="X2" s="637" t="s">
        <v>1220</v>
      </c>
      <c r="Y2" s="631" t="s">
        <v>1221</v>
      </c>
      <c r="Z2" s="638"/>
      <c r="AA2" s="631" t="s">
        <v>1222</v>
      </c>
      <c r="AB2" s="639" t="s">
        <v>1222</v>
      </c>
      <c r="AC2" s="631" t="s">
        <v>1223</v>
      </c>
      <c r="AD2" s="639" t="s">
        <v>1223</v>
      </c>
      <c r="AF2" s="632" t="s">
        <v>1219</v>
      </c>
      <c r="AH2" s="632" t="s">
        <v>1224</v>
      </c>
      <c r="AI2" s="632" t="s">
        <v>1224</v>
      </c>
      <c r="AK2" s="632" t="s">
        <v>1225</v>
      </c>
      <c r="AM2" s="632" t="s">
        <v>1226</v>
      </c>
      <c r="AP2" s="31" t="s">
        <v>1220</v>
      </c>
      <c r="AQ2" s="640" t="s">
        <v>1220</v>
      </c>
      <c r="AS2" s="631" t="s">
        <v>1227</v>
      </c>
      <c r="AU2" s="660" t="s">
        <v>1228</v>
      </c>
      <c r="AW2" s="660" t="s">
        <v>1229</v>
      </c>
      <c r="AX2" s="660" t="s">
        <v>1229</v>
      </c>
      <c r="AZ2" s="660" t="s">
        <v>1230</v>
      </c>
      <c r="BB2" s="660" t="s">
        <v>1231</v>
      </c>
      <c r="BC2" s="660" t="s">
        <v>1232</v>
      </c>
      <c r="BE2" s="660">
        <v>2000</v>
      </c>
      <c r="BF2" s="660" t="s">
        <v>1233</v>
      </c>
    </row>
    <row r="3" spans="1:79" ht="11.25" customHeight="1">
      <c r="A3" s="33" t="s">
        <v>1234</v>
      </c>
      <c r="B3" s="631">
        <v>2001</v>
      </c>
      <c r="C3" s="631">
        <v>2023</v>
      </c>
      <c r="D3" s="631" t="s">
        <v>19</v>
      </c>
      <c r="E3" s="632" t="s">
        <v>1235</v>
      </c>
      <c r="F3" s="632" t="s">
        <v>1236</v>
      </c>
      <c r="G3" s="632" t="s">
        <v>1237</v>
      </c>
      <c r="H3" s="632" t="s">
        <v>1238</v>
      </c>
      <c r="I3" s="632" t="s">
        <v>108</v>
      </c>
      <c r="J3" s="632" t="s">
        <v>555</v>
      </c>
      <c r="K3" s="172" t="s">
        <v>1149</v>
      </c>
      <c r="L3" s="172">
        <f>IFERROR(MATCH(K3,OFFER_METHOD,0),0)</f>
        <v>31</v>
      </c>
      <c r="M3" s="172">
        <v>2</v>
      </c>
      <c r="N3" s="667" t="s">
        <v>1239</v>
      </c>
      <c r="O3" s="632" t="s">
        <v>1240</v>
      </c>
      <c r="P3" s="633" t="s">
        <v>1241</v>
      </c>
      <c r="Q3" s="634" t="s">
        <v>1242</v>
      </c>
      <c r="R3" s="58" t="s">
        <v>1243</v>
      </c>
      <c r="S3" s="58" t="s">
        <v>1244</v>
      </c>
      <c r="T3" s="635" t="s">
        <v>1245</v>
      </c>
      <c r="U3" s="172" t="s">
        <v>1246</v>
      </c>
      <c r="V3" s="636">
        <v>2</v>
      </c>
      <c r="W3" s="637"/>
      <c r="X3" s="637" t="s">
        <v>1247</v>
      </c>
      <c r="Y3" s="631" t="s">
        <v>1221</v>
      </c>
      <c r="Z3" s="638"/>
      <c r="AA3" s="631" t="s">
        <v>1248</v>
      </c>
      <c r="AB3" s="639" t="s">
        <v>1248</v>
      </c>
      <c r="AC3" s="631" t="s">
        <v>1249</v>
      </c>
      <c r="AD3" s="639" t="s">
        <v>1249</v>
      </c>
      <c r="AF3" s="632" t="s">
        <v>1246</v>
      </c>
      <c r="AH3" s="632" t="s">
        <v>1250</v>
      </c>
      <c r="AI3" s="632" t="s">
        <v>1251</v>
      </c>
      <c r="AK3" s="632" t="s">
        <v>1252</v>
      </c>
      <c r="AM3" s="632" t="s">
        <v>1253</v>
      </c>
      <c r="AP3" s="31" t="s">
        <v>1254</v>
      </c>
      <c r="AQ3" s="640" t="s">
        <v>1254</v>
      </c>
      <c r="AS3" s="631" t="s">
        <v>1255</v>
      </c>
      <c r="AU3" s="660" t="s">
        <v>1256</v>
      </c>
      <c r="AW3" s="660" t="s">
        <v>1257</v>
      </c>
      <c r="AX3" s="660" t="s">
        <v>1257</v>
      </c>
      <c r="AZ3" s="660" t="s">
        <v>1258</v>
      </c>
      <c r="BB3" s="660" t="s">
        <v>1259</v>
      </c>
      <c r="BC3" s="660" t="s">
        <v>1232</v>
      </c>
      <c r="BE3" s="660">
        <v>2001</v>
      </c>
      <c r="BF3" s="660" t="s">
        <v>1260</v>
      </c>
      <c r="BH3" s="625" t="s">
        <v>1261</v>
      </c>
      <c r="BJ3" s="625" t="s">
        <v>1262</v>
      </c>
      <c r="BL3" s="625" t="s">
        <v>1263</v>
      </c>
      <c r="BN3" s="625" t="s">
        <v>1264</v>
      </c>
      <c r="BR3" s="625" t="s">
        <v>1265</v>
      </c>
      <c r="BS3" s="803"/>
      <c r="BT3" s="185"/>
      <c r="BU3" s="625" t="s">
        <v>1266</v>
      </c>
      <c r="BV3" s="185"/>
      <c r="BW3"/>
      <c r="BX3" s="625" t="s">
        <v>1267</v>
      </c>
      <c r="CA3" s="625" t="s">
        <v>1268</v>
      </c>
    </row>
    <row r="4" spans="1:79" ht="11.25" customHeight="1">
      <c r="A4" s="33" t="s">
        <v>1269</v>
      </c>
      <c r="B4" s="631">
        <v>2002</v>
      </c>
      <c r="C4" s="631">
        <v>2024</v>
      </c>
      <c r="E4" s="632" t="s">
        <v>1270</v>
      </c>
      <c r="F4" s="632" t="s">
        <v>1271</v>
      </c>
      <c r="H4" s="632" t="s">
        <v>1272</v>
      </c>
      <c r="I4" s="632" t="s">
        <v>88</v>
      </c>
      <c r="J4" s="632" t="s">
        <v>1273</v>
      </c>
      <c r="K4" s="172" t="s">
        <v>1274</v>
      </c>
      <c r="L4" s="172">
        <f>IFERROR(MATCH(K4,OFFER_METHOD,0),0)</f>
        <v>0</v>
      </c>
      <c r="M4" s="172">
        <v>3</v>
      </c>
      <c r="N4" s="667" t="s">
        <v>1275</v>
      </c>
      <c r="O4" s="632" t="s">
        <v>1276</v>
      </c>
      <c r="Q4" s="634" t="s">
        <v>1277</v>
      </c>
      <c r="R4" s="58" t="s">
        <v>1278</v>
      </c>
      <c r="S4" s="58" t="s">
        <v>1279</v>
      </c>
      <c r="T4" s="635" t="s">
        <v>1280</v>
      </c>
      <c r="U4" s="172" t="s">
        <v>1281</v>
      </c>
      <c r="V4" s="636">
        <v>3</v>
      </c>
      <c r="W4" s="637"/>
      <c r="X4" s="637" t="s">
        <v>1282</v>
      </c>
      <c r="Y4" s="631" t="s">
        <v>1221</v>
      </c>
      <c r="Z4" s="16"/>
      <c r="AC4" s="631" t="s">
        <v>1283</v>
      </c>
      <c r="AD4" s="639" t="s">
        <v>1283</v>
      </c>
      <c r="AF4" s="632" t="s">
        <v>1281</v>
      </c>
      <c r="AH4" s="632" t="s">
        <v>1284</v>
      </c>
      <c r="AK4" s="632" t="s">
        <v>1285</v>
      </c>
      <c r="AM4" s="632" t="s">
        <v>1286</v>
      </c>
      <c r="AP4" s="31" t="s">
        <v>1247</v>
      </c>
      <c r="AQ4" s="640" t="s">
        <v>1247</v>
      </c>
      <c r="AS4" s="631" t="s">
        <v>1287</v>
      </c>
      <c r="AU4" s="660" t="s">
        <v>1288</v>
      </c>
      <c r="AW4" s="660" t="s">
        <v>1289</v>
      </c>
      <c r="AX4" s="660" t="s">
        <v>1289</v>
      </c>
      <c r="AZ4" s="660" t="s">
        <v>1290</v>
      </c>
      <c r="BB4" s="660" t="s">
        <v>1291</v>
      </c>
      <c r="BC4" s="660" t="s">
        <v>1292</v>
      </c>
      <c r="BE4" s="660">
        <v>2002</v>
      </c>
      <c r="BF4" s="660" t="s">
        <v>1293</v>
      </c>
      <c r="BH4" s="626" t="s">
        <v>1294</v>
      </c>
      <c r="BJ4" s="626" t="s">
        <v>1294</v>
      </c>
      <c r="BL4" s="626" t="s">
        <v>1294</v>
      </c>
      <c r="BN4" s="626" t="s">
        <v>1294</v>
      </c>
      <c r="BQ4" s="805" t="s">
        <v>1295</v>
      </c>
      <c r="BR4" s="31" t="s">
        <v>1296</v>
      </c>
      <c r="BS4" s="31"/>
      <c r="BT4" s="805" t="s">
        <v>1297</v>
      </c>
      <c r="BU4" s="31" t="s">
        <v>1298</v>
      </c>
      <c r="BV4" s="185"/>
      <c r="BW4" s="805" t="s">
        <v>1299</v>
      </c>
      <c r="BX4" s="31" t="s">
        <v>1300</v>
      </c>
      <c r="BZ4" s="805" t="s">
        <v>1301</v>
      </c>
      <c r="CA4" s="31" t="s">
        <v>1302</v>
      </c>
    </row>
    <row r="5" spans="1:79" ht="11.25" customHeight="1">
      <c r="A5" s="33" t="s">
        <v>1303</v>
      </c>
      <c r="B5" s="631">
        <v>2003</v>
      </c>
      <c r="C5" s="631">
        <v>2025</v>
      </c>
      <c r="E5" s="632" t="s">
        <v>1304</v>
      </c>
      <c r="F5" s="632" t="s">
        <v>1305</v>
      </c>
      <c r="H5" s="632" t="s">
        <v>1306</v>
      </c>
      <c r="I5" s="632" t="s">
        <v>89</v>
      </c>
      <c r="K5" s="172" t="s">
        <v>1307</v>
      </c>
      <c r="L5" s="172">
        <f>IFERROR(MATCH(K5,OFFER_METHOD,0),0)</f>
        <v>0</v>
      </c>
      <c r="M5" s="172">
        <v>4</v>
      </c>
      <c r="N5" s="642" t="s">
        <v>1308</v>
      </c>
      <c r="O5" s="632" t="s">
        <v>1309</v>
      </c>
      <c r="Q5" s="634" t="s">
        <v>1310</v>
      </c>
      <c r="R5" s="58" t="s">
        <v>1311</v>
      </c>
      <c r="T5" s="632" t="s">
        <v>1312</v>
      </c>
      <c r="U5" s="172" t="s">
        <v>1313</v>
      </c>
      <c r="V5" s="636">
        <v>4</v>
      </c>
      <c r="W5" s="637"/>
      <c r="X5" s="637" t="s">
        <v>164</v>
      </c>
      <c r="Y5" s="631" t="s">
        <v>1314</v>
      </c>
      <c r="Z5" s="16">
        <v>1</v>
      </c>
      <c r="AF5" s="632" t="s">
        <v>1315</v>
      </c>
      <c r="AH5" s="632" t="s">
        <v>1316</v>
      </c>
      <c r="AK5" s="632" t="s">
        <v>1317</v>
      </c>
      <c r="AM5" s="632" t="s">
        <v>1318</v>
      </c>
      <c r="AP5" s="31" t="s">
        <v>164</v>
      </c>
      <c r="AQ5" s="640" t="s">
        <v>164</v>
      </c>
      <c r="AU5" s="660" t="s">
        <v>1319</v>
      </c>
      <c r="AW5" s="660" t="s">
        <v>1320</v>
      </c>
      <c r="AX5" s="660" t="s">
        <v>1320</v>
      </c>
      <c r="AZ5" s="660" t="s">
        <v>1321</v>
      </c>
      <c r="BB5" s="660" t="s">
        <v>1322</v>
      </c>
      <c r="BC5" s="660" t="s">
        <v>1323</v>
      </c>
      <c r="BE5" s="660">
        <v>2003</v>
      </c>
      <c r="BF5" s="660" t="s">
        <v>1324</v>
      </c>
      <c r="BH5" s="626" t="s">
        <v>1325</v>
      </c>
      <c r="BJ5" s="626" t="s">
        <v>1325</v>
      </c>
      <c r="BL5" s="626" t="s">
        <v>1325</v>
      </c>
      <c r="BN5" s="626" t="s">
        <v>1326</v>
      </c>
      <c r="BQ5" s="660">
        <v>4213775</v>
      </c>
      <c r="BR5" s="626" t="s">
        <v>1220</v>
      </c>
      <c r="BS5" s="737"/>
      <c r="BT5" s="660">
        <v>64236871</v>
      </c>
      <c r="BU5" s="626" t="s">
        <v>225</v>
      </c>
      <c r="BV5" s="185"/>
      <c r="BW5" s="660">
        <v>4213767</v>
      </c>
      <c r="BX5" s="626" t="s">
        <v>1327</v>
      </c>
      <c r="BZ5" s="660">
        <v>64237509</v>
      </c>
      <c r="CA5" s="742" t="s">
        <v>1328</v>
      </c>
    </row>
    <row r="6" spans="1:79" ht="11.25" customHeight="1">
      <c r="A6" s="33" t="s">
        <v>1329</v>
      </c>
      <c r="B6" s="631">
        <v>2004</v>
      </c>
      <c r="C6" s="631">
        <v>2026</v>
      </c>
      <c r="E6" s="632" t="s">
        <v>1330</v>
      </c>
      <c r="F6" s="34"/>
      <c r="H6" s="632" t="s">
        <v>1331</v>
      </c>
      <c r="I6" s="632" t="s">
        <v>109</v>
      </c>
      <c r="J6" s="625" t="s">
        <v>1332</v>
      </c>
      <c r="L6" s="172">
        <f>SUM(kind_of_control_method_filter)</f>
        <v>31</v>
      </c>
      <c r="N6" s="642" t="s">
        <v>1333</v>
      </c>
      <c r="O6" s="632" t="s">
        <v>1334</v>
      </c>
      <c r="R6" s="58" t="s">
        <v>495</v>
      </c>
      <c r="T6" s="632" t="s">
        <v>1335</v>
      </c>
      <c r="U6" s="172" t="s">
        <v>1315</v>
      </c>
      <c r="V6" s="636">
        <v>5</v>
      </c>
      <c r="W6" s="637"/>
      <c r="X6" s="631" t="s">
        <v>170</v>
      </c>
      <c r="Y6" s="631" t="s">
        <v>1336</v>
      </c>
      <c r="Z6" s="16"/>
      <c r="AA6" s="194"/>
      <c r="AH6" s="632" t="s">
        <v>1337</v>
      </c>
      <c r="AK6" s="632" t="s">
        <v>1338</v>
      </c>
      <c r="AM6" s="632" t="s">
        <v>1339</v>
      </c>
      <c r="AP6" s="31" t="s">
        <v>170</v>
      </c>
      <c r="AQ6" s="640" t="s">
        <v>170</v>
      </c>
      <c r="AU6" s="660" t="s">
        <v>1340</v>
      </c>
      <c r="AW6" s="660" t="s">
        <v>1341</v>
      </c>
      <c r="AX6" s="660" t="s">
        <v>1341</v>
      </c>
      <c r="BB6" s="660" t="s">
        <v>1342</v>
      </c>
      <c r="BC6" s="660" t="s">
        <v>1323</v>
      </c>
      <c r="BE6" s="660">
        <v>2004</v>
      </c>
      <c r="BF6" s="660" t="s">
        <v>1343</v>
      </c>
      <c r="BH6" s="626" t="s">
        <v>1344</v>
      </c>
      <c r="BJ6" s="626" t="s">
        <v>1345</v>
      </c>
      <c r="BL6" s="626" t="s">
        <v>1345</v>
      </c>
      <c r="BN6" s="626" t="s">
        <v>1346</v>
      </c>
      <c r="BQ6" s="660">
        <v>4213784</v>
      </c>
      <c r="BR6" s="742" t="s">
        <v>1254</v>
      </c>
      <c r="BS6" s="804"/>
      <c r="BT6" s="660">
        <v>64236872</v>
      </c>
      <c r="BU6" s="626" t="s">
        <v>234</v>
      </c>
      <c r="BV6" s="185"/>
      <c r="BW6" s="660">
        <v>4213768</v>
      </c>
      <c r="BX6" s="626" t="s">
        <v>254</v>
      </c>
      <c r="BZ6" s="660">
        <v>64237510</v>
      </c>
      <c r="CA6" s="626" t="s">
        <v>1347</v>
      </c>
    </row>
    <row r="7" spans="1:79" ht="11.25" customHeight="1">
      <c r="A7" s="33" t="s">
        <v>1348</v>
      </c>
      <c r="B7" s="631">
        <v>2005</v>
      </c>
      <c r="E7" s="632" t="s">
        <v>1349</v>
      </c>
      <c r="F7" s="34"/>
      <c r="H7" s="632" t="s">
        <v>1350</v>
      </c>
      <c r="I7" s="632" t="s">
        <v>90</v>
      </c>
      <c r="J7" s="632" t="s">
        <v>1351</v>
      </c>
      <c r="N7" s="435" t="s">
        <v>1352</v>
      </c>
      <c r="O7" s="632" t="s">
        <v>1353</v>
      </c>
      <c r="U7" s="172" t="s">
        <v>19</v>
      </c>
      <c r="V7" s="211" t="s">
        <v>90</v>
      </c>
      <c r="W7" s="637"/>
      <c r="X7" s="631" t="s">
        <v>176</v>
      </c>
      <c r="Y7" s="631" t="s">
        <v>1314</v>
      </c>
      <c r="Z7" s="16"/>
      <c r="AA7" s="194"/>
      <c r="AH7" s="632" t="s">
        <v>1354</v>
      </c>
      <c r="AK7" s="632" t="s">
        <v>1355</v>
      </c>
      <c r="AM7" s="632" t="s">
        <v>1356</v>
      </c>
      <c r="AP7" s="31" t="s">
        <v>176</v>
      </c>
      <c r="AQ7" s="640" t="s">
        <v>176</v>
      </c>
      <c r="AU7" s="660" t="s">
        <v>1357</v>
      </c>
      <c r="AW7" s="660" t="s">
        <v>1358</v>
      </c>
      <c r="AX7" s="660" t="s">
        <v>1358</v>
      </c>
      <c r="AZ7" s="625" t="s">
        <v>1359</v>
      </c>
      <c r="BB7" s="660" t="s">
        <v>1360</v>
      </c>
      <c r="BC7" s="660" t="s">
        <v>1323</v>
      </c>
      <c r="BE7" s="660">
        <v>2005</v>
      </c>
      <c r="BF7" s="660" t="s">
        <v>1361</v>
      </c>
      <c r="BH7" s="626" t="s">
        <v>1362</v>
      </c>
      <c r="BJ7" s="626" t="s">
        <v>1344</v>
      </c>
      <c r="BL7" s="626" t="s">
        <v>1344</v>
      </c>
      <c r="BN7" s="626" t="s">
        <v>1363</v>
      </c>
      <c r="BQ7" s="660">
        <v>4213781</v>
      </c>
      <c r="BR7" s="626" t="s">
        <v>1247</v>
      </c>
      <c r="BS7" s="737"/>
      <c r="BT7" s="660">
        <v>64236873</v>
      </c>
      <c r="BU7" s="626" t="s">
        <v>239</v>
      </c>
      <c r="BV7" s="185"/>
      <c r="BW7" s="660">
        <v>4213769</v>
      </c>
      <c r="BX7" s="626" t="s">
        <v>1364</v>
      </c>
      <c r="BZ7" s="660">
        <v>64237511</v>
      </c>
      <c r="CA7" s="626" t="s">
        <v>269</v>
      </c>
    </row>
    <row r="8" spans="1:79" ht="11.25" customHeight="1">
      <c r="A8" s="33" t="s">
        <v>1365</v>
      </c>
      <c r="B8" s="631">
        <v>2006</v>
      </c>
      <c r="E8" s="632" t="s">
        <v>1366</v>
      </c>
      <c r="F8" s="34"/>
      <c r="H8" s="632" t="s">
        <v>1367</v>
      </c>
      <c r="I8" s="632" t="s">
        <v>91</v>
      </c>
      <c r="J8" s="632" t="s">
        <v>1368</v>
      </c>
      <c r="N8" s="668" t="s">
        <v>1369</v>
      </c>
      <c r="O8" s="632" t="s">
        <v>1370</v>
      </c>
      <c r="V8" s="211" t="s">
        <v>91</v>
      </c>
      <c r="W8" s="637"/>
      <c r="X8" s="631" t="s">
        <v>182</v>
      </c>
      <c r="Y8" s="631" t="s">
        <v>1314</v>
      </c>
      <c r="Z8" s="16"/>
      <c r="AA8" s="194"/>
      <c r="AK8" s="632" t="s">
        <v>1371</v>
      </c>
      <c r="AP8" s="31" t="s">
        <v>182</v>
      </c>
      <c r="AQ8" s="640" t="s">
        <v>182</v>
      </c>
      <c r="AU8" s="660" t="s">
        <v>1372</v>
      </c>
      <c r="AW8" s="660" t="s">
        <v>1373</v>
      </c>
      <c r="AX8" s="660" t="s">
        <v>1373</v>
      </c>
      <c r="AZ8" s="660" t="s">
        <v>1374</v>
      </c>
      <c r="BB8" s="660" t="s">
        <v>1375</v>
      </c>
      <c r="BC8" s="660" t="s">
        <v>1323</v>
      </c>
      <c r="BE8" s="660">
        <v>2006</v>
      </c>
      <c r="BF8" s="660" t="s">
        <v>1376</v>
      </c>
      <c r="BH8" s="626" t="s">
        <v>1377</v>
      </c>
      <c r="BJ8" s="626" t="s">
        <v>1378</v>
      </c>
      <c r="BL8" s="626" t="s">
        <v>1378</v>
      </c>
      <c r="BN8" s="626" t="s">
        <v>1379</v>
      </c>
      <c r="BQ8" s="660">
        <v>4213776</v>
      </c>
      <c r="BR8" s="626" t="s">
        <v>164</v>
      </c>
      <c r="BS8" s="737"/>
      <c r="BT8" s="660">
        <v>64236874</v>
      </c>
      <c r="BU8" s="742" t="s">
        <v>1380</v>
      </c>
      <c r="BV8" s="185"/>
      <c r="BW8" s="660">
        <v>4213770</v>
      </c>
      <c r="BX8" s="742" t="s">
        <v>1381</v>
      </c>
      <c r="BZ8" s="660">
        <v>64237512</v>
      </c>
      <c r="CA8" s="626" t="s">
        <v>264</v>
      </c>
    </row>
    <row r="9" spans="1:79" ht="11.25" customHeight="1">
      <c r="A9" s="33" t="s">
        <v>1382</v>
      </c>
      <c r="B9" s="631">
        <v>2007</v>
      </c>
      <c r="E9" s="632" t="s">
        <v>1383</v>
      </c>
      <c r="F9" s="34"/>
      <c r="G9" s="625" t="s">
        <v>1384</v>
      </c>
      <c r="H9" s="625" t="s">
        <v>1385</v>
      </c>
      <c r="I9" s="632" t="s">
        <v>110</v>
      </c>
      <c r="O9" s="632" t="s">
        <v>1386</v>
      </c>
      <c r="V9" s="211" t="s">
        <v>110</v>
      </c>
      <c r="W9" s="637"/>
      <c r="X9" s="631" t="s">
        <v>188</v>
      </c>
      <c r="Y9" s="631" t="s">
        <v>1221</v>
      </c>
      <c r="Z9" s="16">
        <v>1</v>
      </c>
      <c r="AA9" s="194"/>
      <c r="AK9" s="632" t="s">
        <v>1387</v>
      </c>
      <c r="AP9" s="31" t="s">
        <v>1388</v>
      </c>
      <c r="AQ9" s="640" t="s">
        <v>1388</v>
      </c>
      <c r="AW9" s="660" t="s">
        <v>1389</v>
      </c>
      <c r="AX9" s="660" t="s">
        <v>1389</v>
      </c>
      <c r="AZ9" s="660" t="s">
        <v>1390</v>
      </c>
      <c r="BB9" s="660" t="s">
        <v>1391</v>
      </c>
      <c r="BC9" s="660" t="s">
        <v>1323</v>
      </c>
      <c r="BE9" s="660">
        <v>2007</v>
      </c>
      <c r="BF9" s="660" t="s">
        <v>1392</v>
      </c>
      <c r="BH9" s="626" t="s">
        <v>1393</v>
      </c>
      <c r="BJ9" s="626" t="s">
        <v>1394</v>
      </c>
      <c r="BL9" s="626" t="s">
        <v>1394</v>
      </c>
      <c r="BN9" s="626" t="s">
        <v>1395</v>
      </c>
      <c r="BQ9" s="660">
        <v>4213777</v>
      </c>
      <c r="BR9" s="626" t="s">
        <v>170</v>
      </c>
      <c r="BS9" s="737"/>
      <c r="BT9" s="660">
        <v>64236875</v>
      </c>
      <c r="BU9" s="626" t="s">
        <v>244</v>
      </c>
      <c r="BV9" s="185"/>
      <c r="BW9"/>
      <c r="BX9"/>
    </row>
    <row r="10" spans="1:79" ht="11.25" customHeight="1">
      <c r="A10" s="33" t="s">
        <v>1396</v>
      </c>
      <c r="B10" s="631">
        <v>2008</v>
      </c>
      <c r="E10" s="632" t="s">
        <v>1397</v>
      </c>
      <c r="F10" s="34"/>
      <c r="G10" s="632" t="s">
        <v>1398</v>
      </c>
      <c r="H10" s="632" t="s">
        <v>1399</v>
      </c>
      <c r="I10" s="632" t="s">
        <v>146</v>
      </c>
      <c r="J10" s="625" t="s">
        <v>1400</v>
      </c>
      <c r="K10" s="625" t="s">
        <v>1401</v>
      </c>
      <c r="O10" s="632" t="s">
        <v>1402</v>
      </c>
      <c r="V10" s="212" t="s">
        <v>146</v>
      </c>
      <c r="W10" s="643"/>
      <c r="X10" s="643" t="s">
        <v>1403</v>
      </c>
      <c r="Y10" s="644" t="s">
        <v>1404</v>
      </c>
      <c r="Z10" s="16"/>
      <c r="AP10" s="31" t="s">
        <v>1403</v>
      </c>
      <c r="AQ10" s="640" t="s">
        <v>1403</v>
      </c>
      <c r="AW10" s="660" t="s">
        <v>1405</v>
      </c>
      <c r="AX10" s="660" t="s">
        <v>1405</v>
      </c>
      <c r="AZ10" s="660" t="s">
        <v>1406</v>
      </c>
      <c r="BB10" s="660" t="s">
        <v>1407</v>
      </c>
      <c r="BC10" s="660" t="s">
        <v>1323</v>
      </c>
      <c r="BE10" s="660">
        <v>2008</v>
      </c>
      <c r="BF10" s="660" t="s">
        <v>1408</v>
      </c>
      <c r="BH10" s="626" t="s">
        <v>1409</v>
      </c>
      <c r="BJ10" s="626" t="s">
        <v>1410</v>
      </c>
      <c r="BL10" s="626" t="s">
        <v>1410</v>
      </c>
      <c r="BN10" s="626" t="s">
        <v>1411</v>
      </c>
      <c r="BQ10" s="660">
        <v>4213778</v>
      </c>
      <c r="BR10" s="626" t="s">
        <v>176</v>
      </c>
      <c r="BS10" s="737"/>
      <c r="BT10" s="660">
        <v>64236876</v>
      </c>
      <c r="BU10" s="626" t="s">
        <v>220</v>
      </c>
      <c r="BV10" s="185"/>
      <c r="BW10"/>
      <c r="BX10"/>
    </row>
    <row r="11" spans="1:79" ht="11.25" customHeight="1">
      <c r="A11" s="33" t="s">
        <v>1412</v>
      </c>
      <c r="B11" s="631">
        <v>2009</v>
      </c>
      <c r="E11" s="632" t="s">
        <v>1413</v>
      </c>
      <c r="F11" s="34"/>
      <c r="G11" s="632" t="s">
        <v>1414</v>
      </c>
      <c r="H11" s="632" t="s">
        <v>1415</v>
      </c>
      <c r="I11" s="632" t="s">
        <v>147</v>
      </c>
      <c r="J11" s="632" t="s">
        <v>1416</v>
      </c>
      <c r="K11" s="645" t="s">
        <v>1417</v>
      </c>
      <c r="O11" s="632" t="s">
        <v>1418</v>
      </c>
      <c r="V11" s="211" t="s">
        <v>147</v>
      </c>
      <c r="W11" s="158"/>
      <c r="X11" s="637" t="s">
        <v>1388</v>
      </c>
      <c r="Y11" s="631" t="s">
        <v>1419</v>
      </c>
      <c r="Z11" s="16"/>
      <c r="AP11" s="31" t="s">
        <v>188</v>
      </c>
      <c r="AQ11" s="641" t="s">
        <v>188</v>
      </c>
      <c r="AW11" s="660" t="s">
        <v>1420</v>
      </c>
      <c r="AX11" s="660" t="s">
        <v>1420</v>
      </c>
      <c r="AZ11" s="660" t="s">
        <v>1421</v>
      </c>
      <c r="BB11" s="660" t="s">
        <v>1422</v>
      </c>
      <c r="BC11" s="660" t="s">
        <v>1323</v>
      </c>
      <c r="BE11" s="660">
        <v>2009</v>
      </c>
      <c r="BF11" s="660" t="s">
        <v>1423</v>
      </c>
      <c r="BH11" s="626" t="s">
        <v>1424</v>
      </c>
      <c r="BJ11" s="626" t="s">
        <v>1393</v>
      </c>
      <c r="BL11" s="626" t="s">
        <v>1393</v>
      </c>
      <c r="BN11" s="626" t="s">
        <v>1425</v>
      </c>
      <c r="BQ11" s="660">
        <v>4213780</v>
      </c>
      <c r="BR11" s="626" t="s">
        <v>182</v>
      </c>
      <c r="BS11" s="737"/>
      <c r="BW11"/>
      <c r="BX11"/>
    </row>
    <row r="12" spans="1:79" ht="11.25" customHeight="1">
      <c r="A12" s="33" t="s">
        <v>1426</v>
      </c>
      <c r="B12" s="631">
        <v>2010</v>
      </c>
      <c r="E12" s="632" t="s">
        <v>1427</v>
      </c>
      <c r="F12" s="34"/>
      <c r="G12" s="632" t="s">
        <v>1415</v>
      </c>
      <c r="I12" s="632" t="s">
        <v>148</v>
      </c>
      <c r="J12" s="632" t="s">
        <v>1428</v>
      </c>
      <c r="K12" s="645" t="s">
        <v>1429</v>
      </c>
      <c r="O12" s="632" t="s">
        <v>495</v>
      </c>
      <c r="V12" s="211" t="s">
        <v>148</v>
      </c>
      <c r="W12" s="641"/>
      <c r="X12" s="637" t="s">
        <v>1430</v>
      </c>
      <c r="Y12" s="631" t="s">
        <v>1221</v>
      </c>
      <c r="AP12" s="31"/>
      <c r="AW12" s="660" t="s">
        <v>147</v>
      </c>
      <c r="AX12" s="660" t="s">
        <v>147</v>
      </c>
      <c r="AZ12" s="660" t="s">
        <v>1431</v>
      </c>
      <c r="BB12" s="660" t="s">
        <v>1432</v>
      </c>
      <c r="BC12" s="660" t="s">
        <v>1323</v>
      </c>
      <c r="BE12" s="660">
        <v>2010</v>
      </c>
      <c r="BF12" s="660" t="s">
        <v>1433</v>
      </c>
      <c r="BH12" s="626" t="s">
        <v>1434</v>
      </c>
      <c r="BJ12" s="626" t="s">
        <v>1435</v>
      </c>
      <c r="BL12" s="626" t="s">
        <v>1435</v>
      </c>
      <c r="BN12" s="626" t="s">
        <v>1436</v>
      </c>
      <c r="BQ12" s="660">
        <v>4213779</v>
      </c>
      <c r="BR12" s="626" t="s">
        <v>1388</v>
      </c>
      <c r="BS12" s="737"/>
      <c r="BT12" s="185"/>
      <c r="BU12" s="185"/>
      <c r="BV12" s="185"/>
      <c r="BW12"/>
      <c r="BX12"/>
    </row>
    <row r="13" spans="1:79" ht="11.25" customHeight="1">
      <c r="A13" s="33" t="s">
        <v>1437</v>
      </c>
      <c r="B13" s="631">
        <v>2011</v>
      </c>
      <c r="E13" s="632" t="s">
        <v>1438</v>
      </c>
      <c r="F13" s="34"/>
      <c r="I13" s="632" t="s">
        <v>149</v>
      </c>
      <c r="K13" s="645" t="s">
        <v>1387</v>
      </c>
      <c r="V13" s="211" t="s">
        <v>149</v>
      </c>
      <c r="W13" s="641"/>
      <c r="X13" s="641"/>
      <c r="Y13" s="641"/>
      <c r="AW13" s="660" t="s">
        <v>148</v>
      </c>
      <c r="AX13" s="660" t="s">
        <v>148</v>
      </c>
      <c r="BB13" s="660" t="s">
        <v>1439</v>
      </c>
      <c r="BC13" s="660" t="s">
        <v>1440</v>
      </c>
      <c r="BE13" s="660">
        <v>2011</v>
      </c>
      <c r="BF13" s="660" t="s">
        <v>1441</v>
      </c>
      <c r="BH13" s="626" t="s">
        <v>1442</v>
      </c>
      <c r="BJ13" s="626" t="s">
        <v>1424</v>
      </c>
      <c r="BL13" s="626" t="s">
        <v>1424</v>
      </c>
      <c r="BN13" s="626" t="s">
        <v>1443</v>
      </c>
      <c r="BQ13" s="660">
        <v>4213783</v>
      </c>
      <c r="BR13" s="626" t="s">
        <v>1403</v>
      </c>
      <c r="BS13" s="737"/>
      <c r="BT13" s="185"/>
      <c r="BU13" s="185"/>
      <c r="BV13" s="185"/>
      <c r="BW13" s="185"/>
      <c r="BX13"/>
    </row>
    <row r="14" spans="1:79" ht="11.25" customHeight="1">
      <c r="A14" s="33" t="s">
        <v>1444</v>
      </c>
      <c r="B14" s="631">
        <v>2012</v>
      </c>
      <c r="I14" s="632" t="s">
        <v>150</v>
      </c>
      <c r="J14" s="625" t="s">
        <v>1445</v>
      </c>
      <c r="N14" s="625" t="s">
        <v>1446</v>
      </c>
      <c r="V14" s="636">
        <v>13</v>
      </c>
      <c r="W14" s="637"/>
      <c r="X14" s="637" t="s">
        <v>1254</v>
      </c>
      <c r="Y14" s="631" t="s">
        <v>1221</v>
      </c>
      <c r="AW14" s="660" t="s">
        <v>149</v>
      </c>
      <c r="AX14" s="660" t="s">
        <v>149</v>
      </c>
      <c r="AZ14" s="625" t="s">
        <v>1447</v>
      </c>
      <c r="BB14" s="660" t="s">
        <v>1448</v>
      </c>
      <c r="BC14" s="660" t="s">
        <v>1440</v>
      </c>
      <c r="BE14" s="660">
        <v>2012</v>
      </c>
      <c r="BH14" s="626" t="s">
        <v>1363</v>
      </c>
      <c r="BJ14" s="705" t="s">
        <v>1449</v>
      </c>
      <c r="BL14" s="705" t="s">
        <v>1449</v>
      </c>
      <c r="BN14" s="626" t="s">
        <v>1450</v>
      </c>
      <c r="BQ14" s="660">
        <v>4213782</v>
      </c>
      <c r="BR14" s="626" t="s">
        <v>188</v>
      </c>
      <c r="BS14" s="737"/>
      <c r="BT14" s="185"/>
      <c r="BU14" s="185"/>
      <c r="BV14" s="185"/>
      <c r="BW14" s="185"/>
      <c r="BX14"/>
    </row>
    <row r="15" spans="1:79" ht="19.5" customHeight="1">
      <c r="A15" s="33" t="s">
        <v>1451</v>
      </c>
      <c r="B15" s="631">
        <v>2013</v>
      </c>
      <c r="E15" s="906" t="s">
        <v>1452</v>
      </c>
      <c r="G15" s="625" t="s">
        <v>1453</v>
      </c>
      <c r="H15" s="625" t="s">
        <v>1454</v>
      </c>
      <c r="I15" s="172" t="s">
        <v>151</v>
      </c>
      <c r="J15" s="641" t="s">
        <v>582</v>
      </c>
      <c r="N15" s="666" t="s">
        <v>1455</v>
      </c>
      <c r="X15" s="31"/>
      <c r="AW15" s="660" t="s">
        <v>150</v>
      </c>
      <c r="AX15" s="660" t="s">
        <v>150</v>
      </c>
      <c r="AZ15" s="660" t="s">
        <v>1374</v>
      </c>
      <c r="BB15" s="660" t="s">
        <v>1456</v>
      </c>
      <c r="BC15" s="660" t="s">
        <v>1440</v>
      </c>
      <c r="BE15" s="660">
        <v>2013</v>
      </c>
      <c r="BH15" s="626" t="s">
        <v>1379</v>
      </c>
      <c r="BJ15" s="705" t="s">
        <v>1457</v>
      </c>
      <c r="BL15" s="705" t="s">
        <v>1457</v>
      </c>
      <c r="BN15" s="626" t="s">
        <v>1458</v>
      </c>
      <c r="BR15" s="185"/>
      <c r="BS15" s="185"/>
      <c r="BT15" s="185"/>
      <c r="BU15" s="185"/>
      <c r="BV15" s="185"/>
      <c r="BW15" s="185"/>
      <c r="BX15"/>
    </row>
    <row r="16" spans="1:79" ht="21" customHeight="1">
      <c r="A16" s="1009" t="s">
        <v>1459</v>
      </c>
      <c r="B16" s="631">
        <v>2014</v>
      </c>
      <c r="E16" s="907" t="s">
        <v>1460</v>
      </c>
      <c r="G16" s="632" t="s">
        <v>1461</v>
      </c>
      <c r="H16" s="632" t="s">
        <v>1462</v>
      </c>
      <c r="I16" s="172" t="s">
        <v>1463</v>
      </c>
      <c r="J16" s="641" t="s">
        <v>555</v>
      </c>
      <c r="N16" s="666" t="s">
        <v>1464</v>
      </c>
      <c r="AW16" s="660" t="s">
        <v>151</v>
      </c>
      <c r="AX16" s="660" t="s">
        <v>151</v>
      </c>
      <c r="AZ16" s="660" t="s">
        <v>1390</v>
      </c>
      <c r="BB16" s="660" t="s">
        <v>1465</v>
      </c>
      <c r="BC16" s="660" t="s">
        <v>1440</v>
      </c>
      <c r="BE16" s="660">
        <v>2014</v>
      </c>
      <c r="BH16" s="626" t="s">
        <v>1395</v>
      </c>
      <c r="BJ16" s="705" t="s">
        <v>1466</v>
      </c>
      <c r="BL16" s="705" t="s">
        <v>1466</v>
      </c>
      <c r="BN16" s="626" t="s">
        <v>1467</v>
      </c>
      <c r="BR16" s="185"/>
      <c r="BS16" s="185"/>
      <c r="BT16" s="185"/>
      <c r="BU16" s="185"/>
      <c r="BV16" s="185"/>
      <c r="BW16" s="185"/>
      <c r="BX16"/>
    </row>
    <row r="17" spans="1:82" ht="21" customHeight="1">
      <c r="A17" s="33" t="s">
        <v>1468</v>
      </c>
      <c r="B17" s="631">
        <v>2015</v>
      </c>
      <c r="G17" s="632" t="s">
        <v>1415</v>
      </c>
      <c r="H17" s="632" t="s">
        <v>1415</v>
      </c>
      <c r="I17" s="632" t="s">
        <v>1469</v>
      </c>
      <c r="N17" s="666" t="s">
        <v>1470</v>
      </c>
      <c r="X17" s="31"/>
      <c r="AW17" s="660" t="s">
        <v>1463</v>
      </c>
      <c r="AX17" s="660" t="s">
        <v>1463</v>
      </c>
      <c r="AZ17" s="660" t="s">
        <v>1471</v>
      </c>
      <c r="BB17" s="660" t="s">
        <v>1472</v>
      </c>
      <c r="BC17" s="660" t="s">
        <v>1323</v>
      </c>
      <c r="BE17" s="660">
        <v>2015</v>
      </c>
      <c r="BH17" s="626" t="s">
        <v>1411</v>
      </c>
      <c r="BJ17" s="705" t="s">
        <v>1473</v>
      </c>
      <c r="BL17" s="705" t="s">
        <v>1473</v>
      </c>
      <c r="BN17" s="626" t="s">
        <v>1474</v>
      </c>
      <c r="BR17" s="625" t="s">
        <v>1265</v>
      </c>
      <c r="BS17" s="803"/>
      <c r="BU17" s="625" t="s">
        <v>1475</v>
      </c>
      <c r="BV17" s="185"/>
      <c r="BW17"/>
      <c r="BX17" s="625" t="s">
        <v>1476</v>
      </c>
      <c r="CA17" s="625" t="s">
        <v>1477</v>
      </c>
      <c r="CD17" s="625" t="s">
        <v>1478</v>
      </c>
    </row>
    <row r="18" spans="1:82" ht="21" customHeight="1">
      <c r="A18" s="33" t="s">
        <v>1479</v>
      </c>
      <c r="B18" s="631">
        <v>2016</v>
      </c>
      <c r="E18" s="1058" t="s">
        <v>1480</v>
      </c>
      <c r="I18" s="632" t="s">
        <v>1481</v>
      </c>
      <c r="N18" s="666" t="s">
        <v>1482</v>
      </c>
      <c r="X18" s="31"/>
      <c r="AW18" s="660" t="s">
        <v>1469</v>
      </c>
      <c r="AX18" s="660" t="s">
        <v>1469</v>
      </c>
      <c r="BB18" s="660" t="s">
        <v>1483</v>
      </c>
      <c r="BC18" s="660" t="s">
        <v>1323</v>
      </c>
      <c r="BE18" s="660">
        <v>2016</v>
      </c>
      <c r="BH18" s="626" t="s">
        <v>1425</v>
      </c>
      <c r="BJ18" s="705" t="s">
        <v>1484</v>
      </c>
      <c r="BL18" s="705" t="s">
        <v>1484</v>
      </c>
      <c r="BN18" s="626" t="s">
        <v>1485</v>
      </c>
      <c r="BQ18" s="805" t="s">
        <v>1295</v>
      </c>
      <c r="BR18" s="31" t="s">
        <v>1296</v>
      </c>
      <c r="BS18" s="31"/>
      <c r="BT18" s="805" t="s">
        <v>1486</v>
      </c>
      <c r="BU18" s="31" t="s">
        <v>1487</v>
      </c>
      <c r="BV18" s="185"/>
      <c r="BW18" s="805" t="s">
        <v>1488</v>
      </c>
      <c r="BX18" s="31" t="s">
        <v>1489</v>
      </c>
      <c r="BZ18" s="805" t="s">
        <v>1490</v>
      </c>
      <c r="CA18" s="31" t="s">
        <v>1491</v>
      </c>
      <c r="CC18" s="805" t="s">
        <v>1492</v>
      </c>
      <c r="CD18" s="31" t="s">
        <v>1493</v>
      </c>
    </row>
    <row r="19" spans="1:82" ht="21" customHeight="1">
      <c r="A19" s="1009" t="s">
        <v>1494</v>
      </c>
      <c r="B19" s="631">
        <v>2017</v>
      </c>
      <c r="E19" s="33" t="s">
        <v>163</v>
      </c>
      <c r="I19" s="632" t="s">
        <v>97</v>
      </c>
      <c r="N19" s="666" t="s">
        <v>1495</v>
      </c>
      <c r="X19" s="31"/>
      <c r="AW19" s="660" t="s">
        <v>1481</v>
      </c>
      <c r="AX19" s="660" t="s">
        <v>1481</v>
      </c>
      <c r="AZ19" s="625" t="s">
        <v>1496</v>
      </c>
      <c r="BB19" s="660" t="s">
        <v>1497</v>
      </c>
      <c r="BC19" s="660" t="s">
        <v>1323</v>
      </c>
      <c r="BE19" s="660">
        <v>2017</v>
      </c>
      <c r="BH19" s="626" t="s">
        <v>1498</v>
      </c>
      <c r="BJ19" s="705" t="s">
        <v>1499</v>
      </c>
      <c r="BL19" s="705" t="s">
        <v>1499</v>
      </c>
      <c r="BQ19" s="660">
        <v>4190064</v>
      </c>
      <c r="BR19" s="626" t="s">
        <v>1500</v>
      </c>
      <c r="BS19" s="737"/>
      <c r="BT19" s="660">
        <v>4189671</v>
      </c>
      <c r="BU19" s="626" t="s">
        <v>1501</v>
      </c>
      <c r="BV19" s="185"/>
      <c r="BW19" s="660">
        <v>4189706</v>
      </c>
      <c r="BX19" s="626" t="s">
        <v>1502</v>
      </c>
      <c r="BZ19" s="660">
        <v>4189714</v>
      </c>
      <c r="CA19" s="626" t="s">
        <v>1503</v>
      </c>
      <c r="CC19" s="660">
        <v>4189708</v>
      </c>
      <c r="CD19" s="626" t="s">
        <v>1504</v>
      </c>
    </row>
    <row r="20" spans="1:82" ht="21" customHeight="1">
      <c r="A20" s="33" t="s">
        <v>1505</v>
      </c>
      <c r="B20" s="631">
        <v>2018</v>
      </c>
      <c r="E20" s="33" t="s">
        <v>1254</v>
      </c>
      <c r="I20" s="632" t="s">
        <v>1506</v>
      </c>
      <c r="N20" s="666" t="s">
        <v>1507</v>
      </c>
      <c r="AW20" s="660" t="s">
        <v>97</v>
      </c>
      <c r="AX20" s="660" t="s">
        <v>97</v>
      </c>
      <c r="AZ20" s="660" t="s">
        <v>1508</v>
      </c>
      <c r="BB20" s="660" t="s">
        <v>1509</v>
      </c>
      <c r="BC20" s="660" t="s">
        <v>1440</v>
      </c>
      <c r="BE20" s="660">
        <v>2018</v>
      </c>
      <c r="BH20" s="626" t="s">
        <v>1436</v>
      </c>
      <c r="BJ20" s="626" t="s">
        <v>1363</v>
      </c>
      <c r="BL20" s="626" t="s">
        <v>1363</v>
      </c>
      <c r="BQ20" s="660">
        <v>4190065</v>
      </c>
      <c r="BR20" s="626" t="s">
        <v>1510</v>
      </c>
      <c r="BS20" s="737"/>
      <c r="BT20" s="660">
        <v>4189672</v>
      </c>
      <c r="BU20" s="626" t="s">
        <v>1511</v>
      </c>
      <c r="BV20" s="185"/>
      <c r="BW20" s="660">
        <v>4189705</v>
      </c>
      <c r="BX20" s="626" t="s">
        <v>1512</v>
      </c>
      <c r="BZ20" s="660">
        <v>4189713</v>
      </c>
      <c r="CA20" s="626" t="s">
        <v>1512</v>
      </c>
      <c r="CC20" s="660">
        <v>4189709</v>
      </c>
      <c r="CD20" s="626" t="s">
        <v>1513</v>
      </c>
    </row>
    <row r="21" spans="1:82" ht="21" customHeight="1">
      <c r="A21" s="33" t="s">
        <v>1514</v>
      </c>
      <c r="B21" s="631">
        <v>2019</v>
      </c>
      <c r="I21" s="632" t="s">
        <v>1515</v>
      </c>
      <c r="N21" s="666" t="s">
        <v>1516</v>
      </c>
      <c r="AW21" s="660" t="s">
        <v>1506</v>
      </c>
      <c r="AX21" s="660" t="s">
        <v>1506</v>
      </c>
      <c r="AZ21" s="660" t="s">
        <v>1517</v>
      </c>
      <c r="BB21" s="660" t="s">
        <v>1518</v>
      </c>
      <c r="BC21" s="660" t="s">
        <v>1323</v>
      </c>
      <c r="BE21" s="660">
        <v>2019</v>
      </c>
      <c r="BH21" s="626" t="s">
        <v>1443</v>
      </c>
      <c r="BJ21" s="626" t="s">
        <v>1379</v>
      </c>
      <c r="BL21" s="626" t="s">
        <v>1379</v>
      </c>
      <c r="BQ21" s="660">
        <v>4190066</v>
      </c>
      <c r="BR21" s="626" t="s">
        <v>1519</v>
      </c>
      <c r="BS21" s="737"/>
      <c r="BT21" s="660">
        <v>4189673</v>
      </c>
      <c r="BU21" s="626" t="s">
        <v>1520</v>
      </c>
      <c r="BV21" s="185"/>
      <c r="BW21" s="660">
        <v>4189707</v>
      </c>
      <c r="BX21" s="626" t="s">
        <v>1521</v>
      </c>
      <c r="BZ21" s="660">
        <v>4189712</v>
      </c>
      <c r="CA21" s="626" t="s">
        <v>1522</v>
      </c>
      <c r="CC21" s="660">
        <v>4189710</v>
      </c>
      <c r="CD21" s="626" t="s">
        <v>1523</v>
      </c>
    </row>
    <row r="22" spans="1:82" ht="21" customHeight="1">
      <c r="A22" s="33" t="s">
        <v>1524</v>
      </c>
      <c r="B22" s="631">
        <v>2020</v>
      </c>
      <c r="N22" s="666" t="s">
        <v>1525</v>
      </c>
      <c r="AW22" s="660" t="s">
        <v>1515</v>
      </c>
      <c r="AX22" s="660" t="s">
        <v>1515</v>
      </c>
      <c r="AZ22" s="660" t="s">
        <v>1526</v>
      </c>
      <c r="BB22" s="660" t="s">
        <v>1527</v>
      </c>
      <c r="BC22" s="660" t="s">
        <v>1323</v>
      </c>
      <c r="BE22" s="660">
        <v>2020</v>
      </c>
      <c r="BH22" s="626" t="s">
        <v>1450</v>
      </c>
      <c r="BJ22" s="626" t="s">
        <v>1395</v>
      </c>
      <c r="BL22" s="626" t="s">
        <v>1395</v>
      </c>
      <c r="BQ22" s="660">
        <v>4190067</v>
      </c>
      <c r="BR22" s="626" t="s">
        <v>1528</v>
      </c>
      <c r="BS22" s="737"/>
      <c r="BT22" s="660">
        <v>4189674</v>
      </c>
      <c r="BU22" s="626" t="s">
        <v>1529</v>
      </c>
      <c r="BV22" s="185"/>
      <c r="BW22" s="185"/>
      <c r="CC22" s="660">
        <v>4189711</v>
      </c>
      <c r="CD22" s="626" t="s">
        <v>293</v>
      </c>
    </row>
    <row r="23" spans="1:82" ht="21" customHeight="1">
      <c r="A23" s="33" t="s">
        <v>1530</v>
      </c>
      <c r="B23" s="631">
        <v>2021</v>
      </c>
      <c r="AW23" s="660" t="s">
        <v>1531</v>
      </c>
      <c r="AX23" s="660" t="s">
        <v>1531</v>
      </c>
      <c r="AZ23" s="660" t="s">
        <v>1532</v>
      </c>
      <c r="BB23" s="660" t="s">
        <v>1533</v>
      </c>
      <c r="BC23" s="660" t="s">
        <v>1232</v>
      </c>
      <c r="BE23" s="660">
        <v>2021</v>
      </c>
      <c r="BH23" s="626" t="s">
        <v>1458</v>
      </c>
      <c r="BJ23" s="626" t="s">
        <v>1411</v>
      </c>
      <c r="BL23" s="626" t="s">
        <v>1411</v>
      </c>
      <c r="BQ23" s="660">
        <v>4190068</v>
      </c>
      <c r="BR23" s="626" t="s">
        <v>1534</v>
      </c>
      <c r="BS23" s="737"/>
      <c r="BT23" s="660">
        <v>4189675</v>
      </c>
      <c r="BU23" s="626" t="s">
        <v>1535</v>
      </c>
      <c r="BV23" s="185"/>
      <c r="BW23" s="185"/>
      <c r="CC23" s="660">
        <v>5110778</v>
      </c>
      <c r="CD23" s="626" t="s">
        <v>1536</v>
      </c>
    </row>
    <row r="24" spans="1:82" ht="21" customHeight="1">
      <c r="A24" s="33" t="s">
        <v>1537</v>
      </c>
      <c r="B24" s="631">
        <v>2022</v>
      </c>
      <c r="AW24" s="660" t="s">
        <v>1538</v>
      </c>
      <c r="AX24" s="660" t="s">
        <v>1538</v>
      </c>
      <c r="AZ24" s="660" t="s">
        <v>1539</v>
      </c>
      <c r="BB24" s="660" t="s">
        <v>1540</v>
      </c>
      <c r="BC24" s="660" t="s">
        <v>1541</v>
      </c>
      <c r="BE24" s="660">
        <v>2022</v>
      </c>
      <c r="BH24" s="626" t="s">
        <v>1467</v>
      </c>
      <c r="BJ24" s="626" t="s">
        <v>1425</v>
      </c>
      <c r="BL24" s="626" t="s">
        <v>1425</v>
      </c>
      <c r="BQ24" s="660">
        <v>4190069</v>
      </c>
      <c r="BR24" s="626" t="s">
        <v>1542</v>
      </c>
      <c r="BS24" s="737"/>
      <c r="BT24" s="660">
        <v>4189676</v>
      </c>
      <c r="BU24" s="626" t="s">
        <v>1543</v>
      </c>
      <c r="BV24" s="185"/>
      <c r="BW24" s="185"/>
      <c r="CC24" s="660">
        <v>25575374</v>
      </c>
      <c r="CD24" s="626" t="s">
        <v>1544</v>
      </c>
    </row>
    <row r="25" spans="1:82" ht="11.25" customHeight="1">
      <c r="A25" s="33" t="s">
        <v>1545</v>
      </c>
      <c r="B25" s="631">
        <v>2023</v>
      </c>
      <c r="AW25" s="660" t="s">
        <v>1546</v>
      </c>
      <c r="AX25" s="660" t="s">
        <v>1546</v>
      </c>
      <c r="AZ25" s="660" t="s">
        <v>1547</v>
      </c>
      <c r="BB25" s="660" t="s">
        <v>1548</v>
      </c>
      <c r="BC25" s="660" t="s">
        <v>1541</v>
      </c>
      <c r="BE25" s="660">
        <v>2023</v>
      </c>
      <c r="BH25" s="626" t="s">
        <v>1474</v>
      </c>
      <c r="BJ25" s="626" t="s">
        <v>1498</v>
      </c>
      <c r="BL25" s="626" t="s">
        <v>1498</v>
      </c>
      <c r="BQ25" s="660">
        <v>4190070</v>
      </c>
      <c r="BR25" s="626" t="s">
        <v>1549</v>
      </c>
      <c r="BS25" s="737"/>
      <c r="BT25" s="660">
        <v>4189677</v>
      </c>
      <c r="BU25" s="626" t="s">
        <v>1550</v>
      </c>
      <c r="BV25" s="185"/>
      <c r="BW25" s="185"/>
    </row>
    <row r="26" spans="1:82" ht="11.25" customHeight="1">
      <c r="A26" s="33" t="s">
        <v>1551</v>
      </c>
      <c r="B26" s="631">
        <v>2024</v>
      </c>
      <c r="J26" s="939" t="s">
        <v>1552</v>
      </c>
      <c r="AX26" s="660" t="s">
        <v>1553</v>
      </c>
      <c r="AZ26" s="660" t="s">
        <v>1418</v>
      </c>
      <c r="BB26" s="660" t="s">
        <v>1554</v>
      </c>
      <c r="BC26" s="660" t="s">
        <v>1541</v>
      </c>
      <c r="BE26" s="660">
        <v>2024</v>
      </c>
      <c r="BH26" s="626" t="s">
        <v>1485</v>
      </c>
      <c r="BJ26" s="626" t="s">
        <v>1436</v>
      </c>
      <c r="BL26" s="626" t="s">
        <v>1436</v>
      </c>
      <c r="BQ26" s="660">
        <v>4190071</v>
      </c>
      <c r="BR26" s="626" t="s">
        <v>1555</v>
      </c>
      <c r="BS26" s="737"/>
      <c r="BV26" s="185"/>
      <c r="BW26" s="185"/>
    </row>
    <row r="27" spans="1:82" ht="11.25" customHeight="1">
      <c r="A27" s="33" t="s">
        <v>1556</v>
      </c>
      <c r="B27" s="631">
        <v>2025</v>
      </c>
      <c r="J27" s="84" t="s">
        <v>493</v>
      </c>
      <c r="AX27" s="660" t="s">
        <v>1557</v>
      </c>
      <c r="BB27" s="660" t="s">
        <v>1558</v>
      </c>
      <c r="BC27" s="660" t="s">
        <v>1541</v>
      </c>
      <c r="BE27" s="660">
        <v>2025</v>
      </c>
      <c r="BH27" s="185" t="s">
        <v>28</v>
      </c>
      <c r="BJ27" s="626" t="s">
        <v>1443</v>
      </c>
      <c r="BL27" s="626" t="s">
        <v>1443</v>
      </c>
      <c r="BN27" s="185" t="s">
        <v>28</v>
      </c>
      <c r="BQ27" s="660">
        <v>4190072</v>
      </c>
      <c r="BR27" s="626" t="s">
        <v>1559</v>
      </c>
      <c r="BS27" s="737"/>
      <c r="BV27" s="185"/>
      <c r="BW27" s="185"/>
    </row>
    <row r="28" spans="1:82" ht="11.25" customHeight="1">
      <c r="A28" s="33" t="s">
        <v>1560</v>
      </c>
      <c r="D28" s="33"/>
      <c r="E28" s="646"/>
      <c r="F28" s="646"/>
      <c r="H28" s="145" t="s">
        <v>1561</v>
      </c>
      <c r="AX28" s="660" t="s">
        <v>1562</v>
      </c>
      <c r="AZ28" s="625" t="s">
        <v>1563</v>
      </c>
      <c r="BB28" s="660" t="s">
        <v>1564</v>
      </c>
      <c r="BC28" s="660" t="s">
        <v>1565</v>
      </c>
      <c r="BE28" s="660">
        <v>2026</v>
      </c>
      <c r="BH28" s="185" t="s">
        <v>28</v>
      </c>
      <c r="BJ28" s="626" t="s">
        <v>1450</v>
      </c>
      <c r="BL28" s="626" t="s">
        <v>1450</v>
      </c>
      <c r="BN28" s="185" t="s">
        <v>28</v>
      </c>
      <c r="BQ28" s="660">
        <v>4190073</v>
      </c>
      <c r="BR28" s="626" t="s">
        <v>1566</v>
      </c>
      <c r="BS28" s="737"/>
      <c r="BV28" s="185"/>
      <c r="BW28" s="185"/>
    </row>
    <row r="29" spans="1:82" ht="11.25" customHeight="1">
      <c r="A29" s="33" t="s">
        <v>1567</v>
      </c>
      <c r="D29" s="647" t="s">
        <v>1568</v>
      </c>
      <c r="E29" s="648" t="str">
        <f>IF(TEMPLATE_GROUP="","",INDEX(StartDateList,MATCH(TEMPLATE_GROUP,CodeTemplateList,0),1))</f>
        <v>01.01.2026</v>
      </c>
      <c r="F29" s="648" t="str">
        <f>IF(TEMPLATE_GROUP="","",INDEX(EndDateList,MATCH(TEMPLATE_GROUP,CodeTemplateList,0),1))</f>
        <v>31.12.2029</v>
      </c>
      <c r="H29" s="649" t="s">
        <v>1569</v>
      </c>
      <c r="AX29" s="660" t="s">
        <v>1570</v>
      </c>
      <c r="AZ29" s="660" t="s">
        <v>1216</v>
      </c>
      <c r="BB29" s="660" t="s">
        <v>1418</v>
      </c>
      <c r="BC29" s="16"/>
      <c r="BE29" s="660">
        <v>2027</v>
      </c>
      <c r="BJ29" s="626" t="s">
        <v>1458</v>
      </c>
      <c r="BL29" s="626" t="s">
        <v>1458</v>
      </c>
    </row>
    <row r="30" spans="1:82" ht="11.25" customHeight="1">
      <c r="A30" s="33" t="s">
        <v>1571</v>
      </c>
      <c r="D30" s="650"/>
      <c r="E30" s="651"/>
      <c r="F30" s="651"/>
      <c r="AX30" s="660" t="s">
        <v>1572</v>
      </c>
      <c r="AZ30" s="660" t="s">
        <v>1243</v>
      </c>
      <c r="BE30" s="660">
        <v>2028</v>
      </c>
      <c r="BJ30" s="626" t="s">
        <v>1573</v>
      </c>
      <c r="BL30" s="626" t="s">
        <v>1573</v>
      </c>
    </row>
    <row r="31" spans="1:82" ht="12.75" customHeight="1">
      <c r="A31" s="33" t="s">
        <v>1574</v>
      </c>
      <c r="D31" s="33"/>
      <c r="E31" s="646"/>
      <c r="F31" s="646"/>
      <c r="H31" s="652"/>
      <c r="AX31" s="660" t="s">
        <v>1575</v>
      </c>
      <c r="AZ31" s="660" t="s">
        <v>1576</v>
      </c>
      <c r="BE31" s="660">
        <v>2029</v>
      </c>
      <c r="BJ31" s="626" t="s">
        <v>1577</v>
      </c>
      <c r="BL31" s="626" t="s">
        <v>1577</v>
      </c>
    </row>
    <row r="32" spans="1:82" ht="11.25" customHeight="1">
      <c r="A32" s="33" t="s">
        <v>1578</v>
      </c>
      <c r="D32" s="647" t="s">
        <v>1579</v>
      </c>
      <c r="E32" s="648" t="str">
        <f>IF(TEMPLATE_GROUP="","",INDEX(StartDateList,MATCH(TEMPLATE_GROUP,CodeTemplateList,0),1))</f>
        <v>01.01.2026</v>
      </c>
      <c r="F32" s="648" t="str">
        <f>IF(TEMPLATE_GROUP="","",INDEX(EndDateList,MATCH(TEMPLATE_GROUP,CodeTemplateList,0),1))</f>
        <v>31.12.2029</v>
      </c>
      <c r="H32" s="653" t="s">
        <v>1580</v>
      </c>
      <c r="O32" s="33" t="s">
        <v>1215</v>
      </c>
      <c r="AX32" s="660" t="s">
        <v>1581</v>
      </c>
      <c r="AZ32" s="660" t="s">
        <v>1311</v>
      </c>
      <c r="BE32" s="660">
        <v>2030</v>
      </c>
      <c r="BJ32" s="626" t="s">
        <v>1467</v>
      </c>
      <c r="BL32" s="626" t="s">
        <v>1467</v>
      </c>
    </row>
    <row r="33" spans="1:66" ht="11.25" customHeight="1">
      <c r="A33" s="33" t="s">
        <v>1582</v>
      </c>
      <c r="O33" s="33" t="s">
        <v>1240</v>
      </c>
      <c r="AX33" s="660" t="s">
        <v>1583</v>
      </c>
      <c r="AZ33" s="660" t="s">
        <v>495</v>
      </c>
      <c r="BE33" s="660">
        <v>2031</v>
      </c>
      <c r="BJ33" s="626" t="s">
        <v>1474</v>
      </c>
      <c r="BL33" s="626" t="s">
        <v>1474</v>
      </c>
    </row>
    <row r="34" spans="1:66" ht="11.25" customHeight="1">
      <c r="A34" s="33" t="s">
        <v>1584</v>
      </c>
      <c r="O34" s="33" t="s">
        <v>1276</v>
      </c>
      <c r="AX34" s="660" t="s">
        <v>1585</v>
      </c>
      <c r="BE34" s="660">
        <v>2032</v>
      </c>
      <c r="BJ34" s="626" t="s">
        <v>1485</v>
      </c>
      <c r="BL34" s="626" t="s">
        <v>1485</v>
      </c>
    </row>
    <row r="35" spans="1:66" ht="11.25" customHeight="1">
      <c r="A35" s="33" t="s">
        <v>1586</v>
      </c>
      <c r="O35" s="33" t="s">
        <v>1309</v>
      </c>
      <c r="AX35" s="660" t="s">
        <v>1587</v>
      </c>
      <c r="AZ35" s="625" t="s">
        <v>1588</v>
      </c>
      <c r="BE35" s="660">
        <v>2033</v>
      </c>
      <c r="BL35" s="626" t="s">
        <v>1589</v>
      </c>
    </row>
    <row r="36" spans="1:66" ht="11.25" customHeight="1">
      <c r="A36" s="1009" t="s">
        <v>1590</v>
      </c>
      <c r="D36" s="654" t="s">
        <v>1591</v>
      </c>
      <c r="E36" s="655" t="s">
        <v>852</v>
      </c>
      <c r="F36" s="640" t="str">
        <f>INDEX(E37:E41,MATCH(TEMPLATE_SPHERE,F37:F41,0))</f>
        <v>холодного водоснабжения</v>
      </c>
      <c r="G36" s="640" t="str">
        <f>INDEX(G37:G41,MATCH(TEMPLATE_SPHERE,F37:F41,0))</f>
        <v>холодное водоснабжение</v>
      </c>
      <c r="O36" s="33" t="s">
        <v>1334</v>
      </c>
      <c r="AX36" s="660" t="s">
        <v>1592</v>
      </c>
      <c r="AZ36" s="660" t="s">
        <v>495</v>
      </c>
      <c r="BE36" s="660">
        <v>2034</v>
      </c>
      <c r="BL36" s="626" t="s">
        <v>1593</v>
      </c>
    </row>
    <row r="37" spans="1:66" ht="11.25" customHeight="1">
      <c r="A37" s="33" t="s">
        <v>1594</v>
      </c>
      <c r="E37" s="230" t="s">
        <v>1595</v>
      </c>
      <c r="F37" s="656" t="s">
        <v>806</v>
      </c>
      <c r="G37" s="230" t="s">
        <v>1596</v>
      </c>
      <c r="O37" s="33" t="s">
        <v>1353</v>
      </c>
      <c r="AX37" s="660" t="s">
        <v>1597</v>
      </c>
      <c r="AZ37" s="660" t="s">
        <v>1242</v>
      </c>
      <c r="BE37" s="660">
        <v>2035</v>
      </c>
    </row>
    <row r="38" spans="1:66" ht="11.25" customHeight="1">
      <c r="A38" s="33" t="s">
        <v>1598</v>
      </c>
      <c r="E38" s="230" t="s">
        <v>1599</v>
      </c>
      <c r="F38" s="657" t="s">
        <v>852</v>
      </c>
      <c r="G38" s="230" t="s">
        <v>1600</v>
      </c>
      <c r="O38" s="33" t="s">
        <v>1370</v>
      </c>
      <c r="AX38" s="660" t="s">
        <v>1601</v>
      </c>
      <c r="AZ38" s="660" t="s">
        <v>1277</v>
      </c>
      <c r="BE38" s="660">
        <v>2036</v>
      </c>
      <c r="BH38" s="625" t="s">
        <v>1602</v>
      </c>
      <c r="BJ38" s="625" t="s">
        <v>1603</v>
      </c>
      <c r="BL38" s="625" t="s">
        <v>1604</v>
      </c>
      <c r="BN38" s="625" t="s">
        <v>1605</v>
      </c>
    </row>
    <row r="39" spans="1:66" ht="11.25" customHeight="1">
      <c r="A39" s="33" t="s">
        <v>1606</v>
      </c>
      <c r="E39" s="230" t="s">
        <v>1607</v>
      </c>
      <c r="F39" s="657" t="s">
        <v>905</v>
      </c>
      <c r="G39" s="230" t="s">
        <v>1608</v>
      </c>
      <c r="O39" s="33" t="s">
        <v>1386</v>
      </c>
      <c r="AX39" s="660" t="s">
        <v>1609</v>
      </c>
      <c r="AZ39" s="660" t="s">
        <v>1310</v>
      </c>
      <c r="BE39" s="660">
        <v>2037</v>
      </c>
      <c r="BH39" s="626" t="s">
        <v>1610</v>
      </c>
      <c r="BJ39" s="705" t="s">
        <v>1610</v>
      </c>
      <c r="BL39" s="705" t="s">
        <v>1610</v>
      </c>
      <c r="BN39" s="626" t="s">
        <v>1611</v>
      </c>
    </row>
    <row r="40" spans="1:66" ht="11.25" customHeight="1">
      <c r="A40" s="33" t="s">
        <v>1612</v>
      </c>
      <c r="E40" s="230" t="s">
        <v>1613</v>
      </c>
      <c r="F40" s="657" t="s">
        <v>892</v>
      </c>
      <c r="G40" s="230" t="s">
        <v>1614</v>
      </c>
      <c r="O40" s="33" t="s">
        <v>1402</v>
      </c>
      <c r="AX40" s="660" t="s">
        <v>1615</v>
      </c>
      <c r="BE40" s="660">
        <v>2038</v>
      </c>
      <c r="BH40" s="626" t="s">
        <v>1616</v>
      </c>
      <c r="BJ40" s="705" t="s">
        <v>1025</v>
      </c>
      <c r="BL40" s="705" t="s">
        <v>1025</v>
      </c>
      <c r="BN40" s="626" t="s">
        <v>1059</v>
      </c>
    </row>
    <row r="41" spans="1:66" ht="11.25" customHeight="1">
      <c r="A41" s="33" t="s">
        <v>1617</v>
      </c>
      <c r="E41" s="230" t="s">
        <v>1618</v>
      </c>
      <c r="F41" s="657" t="s">
        <v>1619</v>
      </c>
      <c r="G41" s="230" t="s">
        <v>1618</v>
      </c>
      <c r="O41" s="33" t="s">
        <v>1418</v>
      </c>
      <c r="AX41" s="660" t="s">
        <v>1620</v>
      </c>
      <c r="AZ41" s="625" t="s">
        <v>1621</v>
      </c>
      <c r="BE41" s="660">
        <v>2039</v>
      </c>
      <c r="BH41" s="626" t="s">
        <v>1622</v>
      </c>
      <c r="BJ41" s="705" t="s">
        <v>1021</v>
      </c>
      <c r="BL41" s="705" t="s">
        <v>1021</v>
      </c>
      <c r="BN41" s="626" t="s">
        <v>1046</v>
      </c>
    </row>
    <row r="42" spans="1:66" ht="11.25" customHeight="1">
      <c r="A42" s="33" t="s">
        <v>1623</v>
      </c>
      <c r="AX42" s="660" t="s">
        <v>1624</v>
      </c>
      <c r="AZ42" s="660" t="s">
        <v>1215</v>
      </c>
      <c r="BE42" s="660">
        <v>2040</v>
      </c>
      <c r="BH42" s="626" t="s">
        <v>1043</v>
      </c>
      <c r="BJ42" s="705" t="s">
        <v>1023</v>
      </c>
      <c r="BL42" s="705" t="s">
        <v>1023</v>
      </c>
      <c r="BN42" s="626" t="s">
        <v>1625</v>
      </c>
    </row>
    <row r="43" spans="1:66" ht="11.25" customHeight="1">
      <c r="A43" s="33" t="s">
        <v>1626</v>
      </c>
      <c r="AX43" s="660" t="s">
        <v>1627</v>
      </c>
      <c r="AZ43" s="660" t="s">
        <v>1240</v>
      </c>
      <c r="BE43" s="660">
        <v>2041</v>
      </c>
      <c r="BH43" s="626" t="s">
        <v>1628</v>
      </c>
      <c r="BJ43" s="705" t="s">
        <v>1622</v>
      </c>
      <c r="BL43" s="705" t="s">
        <v>1622</v>
      </c>
      <c r="BN43" s="626" t="s">
        <v>1629</v>
      </c>
    </row>
    <row r="44" spans="1:66" ht="11.25" customHeight="1">
      <c r="A44" s="33" t="s">
        <v>1630</v>
      </c>
      <c r="G44" s="194">
        <f ca="1">YEAR(TODAY())</f>
        <v>2026</v>
      </c>
      <c r="I44" s="457" t="s">
        <v>1631</v>
      </c>
      <c r="J44" s="641" t="s">
        <v>1632</v>
      </c>
      <c r="K44" s="641" t="s">
        <v>1633</v>
      </c>
      <c r="AX44" s="660" t="s">
        <v>1634</v>
      </c>
      <c r="AZ44" s="660" t="s">
        <v>1276</v>
      </c>
      <c r="BE44" s="660">
        <v>2042</v>
      </c>
      <c r="BH44" s="626" t="s">
        <v>1635</v>
      </c>
      <c r="BJ44" s="705" t="s">
        <v>1043</v>
      </c>
      <c r="BL44" s="705" t="s">
        <v>1043</v>
      </c>
      <c r="BN44" s="626" t="s">
        <v>1636</v>
      </c>
    </row>
    <row r="45" spans="1:66" ht="11.25" customHeight="1">
      <c r="A45" s="33" t="s">
        <v>1637</v>
      </c>
      <c r="D45" s="654" t="s">
        <v>1638</v>
      </c>
      <c r="E45" s="655" t="s">
        <v>1639</v>
      </c>
      <c r="F45" s="456" t="s">
        <v>1640</v>
      </c>
      <c r="G45" s="455" t="s">
        <v>1641</v>
      </c>
      <c r="H45" s="457" t="s">
        <v>1642</v>
      </c>
      <c r="I45" s="949" t="b">
        <f>INDEX(PeriodIsEmptyList,MATCH(TEMPLATE_GROUP,CodeTemplateList,0),1)</f>
        <v>0</v>
      </c>
      <c r="J45" s="952" t="str">
        <f>INDEX(NameTemplatesInTitleList,MATCH(TEMPLATE_GROUP,CodeTemplateList,0),1)</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9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0" t="s">
        <v>1643</v>
      </c>
      <c r="AZ45" s="660" t="s">
        <v>1309</v>
      </c>
      <c r="BE45" s="660">
        <v>2043</v>
      </c>
      <c r="BH45" s="626" t="s">
        <v>1644</v>
      </c>
      <c r="BJ45" s="705" t="s">
        <v>1037</v>
      </c>
      <c r="BL45" s="705" t="s">
        <v>1037</v>
      </c>
      <c r="BN45" s="626" t="s">
        <v>1645</v>
      </c>
    </row>
    <row r="46" spans="1:66" ht="11.25" customHeight="1">
      <c r="A46" s="33" t="s">
        <v>1646</v>
      </c>
      <c r="E46" s="230" t="s">
        <v>26</v>
      </c>
      <c r="F46" s="656" t="s">
        <v>1647</v>
      </c>
      <c r="G46" s="658" t="str">
        <f ca="1">IFERROR(IF(TITLE_DATE_FIL="","01.01."&amp;CURRENT_YEAR,"01.01."&amp;YEAR(TITLE_DATE_FIL)),"01.01."&amp;CURRENT_YEAR)</f>
        <v>01.01.2026</v>
      </c>
      <c r="H46" s="658" t="str">
        <f ca="1">IFERROR(IF(TITLE_DATE_FIL="","31.12."&amp;CURRENT_YEAR,"31.12."&amp;YEAR(TITLE_DATE_FIL)),"31.12."&amp;CURRENT_YEAR)</f>
        <v>31.12.2026</v>
      </c>
      <c r="I46" s="950" t="b">
        <f>IF(TITLE_DATE_FIL="",TRUE,FALSE)</f>
        <v>1</v>
      </c>
      <c r="J46" s="953" t="str">
        <f>"Общая информация о регулируемой организации ("&amp;TEMPLATE_SPHERE_RUS&amp;")"</f>
        <v>Общая информация о регулируемой организации (холодного водоснабжения)</v>
      </c>
      <c r="K46" s="954"/>
      <c r="AX46" s="660" t="s">
        <v>1648</v>
      </c>
      <c r="AZ46" s="660" t="s">
        <v>1334</v>
      </c>
      <c r="BE46" s="660">
        <v>2044</v>
      </c>
      <c r="BH46" s="626" t="s">
        <v>1046</v>
      </c>
      <c r="BJ46" s="705" t="s">
        <v>1027</v>
      </c>
      <c r="BL46" s="705" t="s">
        <v>1027</v>
      </c>
      <c r="BN46" s="626" t="s">
        <v>1649</v>
      </c>
    </row>
    <row r="47" spans="1:66" ht="11.25" customHeight="1">
      <c r="A47" s="33" t="s">
        <v>1650</v>
      </c>
      <c r="E47" s="230" t="s">
        <v>33</v>
      </c>
      <c r="F47" s="657" t="s">
        <v>1651</v>
      </c>
      <c r="G47" s="658" t="str">
        <f ca="1">IFERROR(IF(f_year="","01.01."&amp;CURRENT_YEAR,IF(LEN(f_quart)=0,"01.01."&amp;f_year,IF(f_quart="I квартал","01.01."&amp;f_year,IF(f_quart="II квартал","01.04."&amp;f_year,(IF(f_quart="III квартал","01.07."&amp;f_year,"01.10."&amp;f_year)))))),"01.01."&amp;CURRENT_YEAR)</f>
        <v>01.01.2026</v>
      </c>
      <c r="H47" s="658" t="str">
        <f ca="1">IFERROR(IF(f_year="","31.12."&amp;CURRENT_YEAR,IF(LEN(f_quart)=0,"31.12."&amp;f_year,IF(f_quart="I квартал","31.03."&amp;f_year,IF(f_quart="II квартал","30.06."&amp;f_year,(IF(f_quart="III квартал","30.09."&amp;f_year,"31.12."&amp;f_year)))))),"31.12."&amp;CURRENT_YEAR)</f>
        <v>31.12.2026</v>
      </c>
      <c r="I47" s="951" t="b">
        <f>IF(OR(f_year="",f_quart=""),TRUE,FALSE)</f>
        <v>1</v>
      </c>
      <c r="J47" s="9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954"/>
      <c r="AX47" s="660" t="s">
        <v>1652</v>
      </c>
      <c r="AZ47" s="660" t="s">
        <v>1353</v>
      </c>
      <c r="BE47" s="660">
        <v>2045</v>
      </c>
      <c r="BH47" s="626" t="s">
        <v>1625</v>
      </c>
      <c r="BJ47" s="705" t="s">
        <v>1029</v>
      </c>
      <c r="BL47" s="705" t="s">
        <v>1029</v>
      </c>
      <c r="BN47" s="626" t="s">
        <v>1653</v>
      </c>
    </row>
    <row r="48" spans="1:66" ht="11.25" customHeight="1">
      <c r="A48" s="33" t="s">
        <v>1654</v>
      </c>
      <c r="E48" s="230" t="s">
        <v>1655</v>
      </c>
      <c r="F48" s="657" t="s">
        <v>1656</v>
      </c>
      <c r="G48" s="658" t="str">
        <f ca="1">IFERROR(IF(f_year="","01.01."&amp;CURRENT_YEAR,"01.01."&amp;f_year),"01.01."&amp;CURRENT_YEAR)</f>
        <v>01.01.2026</v>
      </c>
      <c r="H48" s="658" t="str">
        <f ca="1">IFERROR(IF(f_year="","31.12."&amp;CURRENT_YEAR,"31.12."&amp;f_year),"31.12."&amp;CURRENT_YEAR)</f>
        <v>31.12.2026</v>
      </c>
      <c r="I48" s="950" t="b">
        <f>IF(f_year="",TRUE,FALSE)</f>
        <v>1</v>
      </c>
      <c r="J48" s="953" t="s">
        <v>1657</v>
      </c>
      <c r="K48" s="954"/>
      <c r="AX48" s="660" t="s">
        <v>1658</v>
      </c>
      <c r="AZ48" s="660" t="s">
        <v>1370</v>
      </c>
      <c r="BE48" s="660">
        <v>2046</v>
      </c>
      <c r="BH48" s="626" t="s">
        <v>1629</v>
      </c>
      <c r="BJ48" s="705" t="s">
        <v>1031</v>
      </c>
      <c r="BL48" s="705" t="s">
        <v>1031</v>
      </c>
      <c r="BN48" s="626" t="s">
        <v>1659</v>
      </c>
    </row>
    <row r="49" spans="1:64" ht="11.25" customHeight="1">
      <c r="A49" s="33" t="s">
        <v>1660</v>
      </c>
      <c r="E49" s="230" t="s">
        <v>1661</v>
      </c>
      <c r="F49" s="657" t="s">
        <v>1662</v>
      </c>
      <c r="G49" s="658" t="str">
        <f ca="1">IFERROR(IF(f_year="","01.01."&amp;CURRENT_YEAR,"01.01."&amp;f_year),"01.01."&amp;CURRENT_YEAR)</f>
        <v>01.01.2026</v>
      </c>
      <c r="H49" s="658" t="str">
        <f ca="1">IFERROR(IF(f_year="","31.12."&amp;CURRENT_YEAR,"31.12."&amp;f_year),"31.12."&amp;CURRENT_YEAR)</f>
        <v>31.12.2026</v>
      </c>
      <c r="I49" s="950" t="b">
        <f>IF(f_year="",TRUE,FALSE)</f>
        <v>1</v>
      </c>
      <c r="J49" s="9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954"/>
      <c r="AX49" s="660" t="s">
        <v>1663</v>
      </c>
      <c r="AZ49" s="660" t="s">
        <v>1386</v>
      </c>
      <c r="BE49" s="660">
        <v>2047</v>
      </c>
      <c r="BH49" s="626" t="s">
        <v>1047</v>
      </c>
      <c r="BJ49" s="705" t="s">
        <v>1033</v>
      </c>
      <c r="BL49" s="705" t="s">
        <v>1033</v>
      </c>
    </row>
    <row r="50" spans="1:64" ht="11.25" customHeight="1">
      <c r="A50" s="33" t="s">
        <v>1664</v>
      </c>
      <c r="E50" s="230" t="s">
        <v>1665</v>
      </c>
      <c r="F50" s="657" t="s">
        <v>1017</v>
      </c>
      <c r="G50" s="658" t="str">
        <f ca="1">IFERROR(IF(f_year="","01.01."&amp;CURRENT_YEAR,"01.01."&amp;f_year),"01.01."&amp;CURRENT_YEAR)</f>
        <v>01.01.2026</v>
      </c>
      <c r="H50" s="658" t="str">
        <f ca="1">IFERROR(IF(f_year="","31.12."&amp;CURRENT_YEAR,"31.12."&amp;f_year),"31.12."&amp;CURRENT_YEAR)</f>
        <v>31.12.2026</v>
      </c>
      <c r="I50" s="950" t="b">
        <f>IF(f_year="",TRUE,FALSE)</f>
        <v>1</v>
      </c>
      <c r="J50" s="9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954"/>
      <c r="AX50" s="660" t="s">
        <v>1666</v>
      </c>
      <c r="AZ50" s="660" t="s">
        <v>1402</v>
      </c>
      <c r="BE50" s="660">
        <v>2048</v>
      </c>
      <c r="BH50" s="626" t="s">
        <v>1636</v>
      </c>
      <c r="BJ50" s="705" t="s">
        <v>1035</v>
      </c>
      <c r="BL50" s="705" t="s">
        <v>1035</v>
      </c>
    </row>
    <row r="51" spans="1:64" ht="11.25" customHeight="1">
      <c r="A51" s="33" t="s">
        <v>1667</v>
      </c>
      <c r="E51" s="230" t="s">
        <v>1668</v>
      </c>
      <c r="F51" s="657" t="s">
        <v>1639</v>
      </c>
      <c r="G51" s="658" t="str">
        <f>IFERROR(IF(TITLE_PERIOD_START="","01.01."&amp;CURRENT_YEAR,"01.01."&amp;YEAR(TITLE_PERIOD_START)),"01.01."&amp;CURRENT_YEAR)</f>
        <v>01.01.2026</v>
      </c>
      <c r="H51" s="658" t="str">
        <f>IFERROR(IF(TITLE_PERIOD_END="","31.12."&amp;CURRENT_YEAR,"31.12."&amp;YEAR(TITLE_PERIOD_END)),"31.12."&amp;CURRENT_YEAR)</f>
        <v>31.12.2029</v>
      </c>
      <c r="I51" s="951" t="b">
        <f>IF(OR(TITLE_PERIOD_START="",TITLE_PERIOD_END=""),TRUE,FALSE)</f>
        <v>0</v>
      </c>
      <c r="J51" s="9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4"/>
      <c r="AX51" s="660" t="s">
        <v>1669</v>
      </c>
      <c r="AZ51" s="660" t="s">
        <v>1418</v>
      </c>
      <c r="BE51" s="660">
        <v>2049</v>
      </c>
      <c r="BH51" s="626" t="s">
        <v>1645</v>
      </c>
      <c r="BJ51" s="705" t="s">
        <v>1670</v>
      </c>
      <c r="BL51" s="705" t="s">
        <v>1670</v>
      </c>
    </row>
    <row r="52" spans="1:64" ht="11.25" customHeight="1">
      <c r="A52" s="33" t="s">
        <v>1671</v>
      </c>
      <c r="E52" s="230" t="s">
        <v>1672</v>
      </c>
      <c r="F52" s="657" t="s">
        <v>1673</v>
      </c>
      <c r="G52" s="658" t="str">
        <f>IFERROR(IF(TITLE_PERIOD_START="","01.01."&amp;CURRENT_YEAR,"01.01."&amp;YEAR(TITLE_PERIOD_START)),"01.01."&amp;CURRENT_YEAR)</f>
        <v>01.01.2026</v>
      </c>
      <c r="H52" s="658" t="str">
        <f>IFERROR(IF(TITLE_PERIOD_END="","31.12."&amp;CURRENT_YEAR,"31.12."&amp;YEAR(TITLE_PERIOD_END)),"31.12."&amp;CURRENT_YEAR)</f>
        <v>31.12.2029</v>
      </c>
      <c r="I52" s="951" t="b">
        <f>IF(OR(TITLE_PERIOD_START="",TITLE_PERIOD_END=""),TRUE,FALSE)</f>
        <v>0</v>
      </c>
      <c r="J52" s="953"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954"/>
      <c r="AX52" s="660" t="s">
        <v>1674</v>
      </c>
      <c r="AZ52" s="660" t="s">
        <v>495</v>
      </c>
      <c r="BE52" s="660">
        <v>2050</v>
      </c>
      <c r="BH52" s="626" t="s">
        <v>1649</v>
      </c>
      <c r="BJ52" s="705" t="s">
        <v>1046</v>
      </c>
      <c r="BL52" s="705" t="s">
        <v>1046</v>
      </c>
    </row>
    <row r="53" spans="1:64" ht="11.25" customHeight="1">
      <c r="A53" s="33" t="s">
        <v>1675</v>
      </c>
      <c r="E53" s="230" t="s">
        <v>1676</v>
      </c>
      <c r="F53" s="657" t="s">
        <v>1676</v>
      </c>
      <c r="G53" s="658" t="str">
        <f ca="1">IFERROR(IF(f_year="","01.01."&amp;CURRENT_YEAR,"01.01."&amp;f_year),"01.01."&amp;CURRENT_YEAR)</f>
        <v>01.01.2026</v>
      </c>
      <c r="H53" s="658" t="str">
        <f ca="1">IFERROR(IF(f_year="","31.12."&amp;CURRENT_YEAR,"31.12."&amp;f_year),"31.12."&amp;CURRENT_YEAR)</f>
        <v>31.12.2026</v>
      </c>
      <c r="I53" s="950" t="b">
        <f>IF(AND(f_year="",TITLE_DATE_FIL=""),TRUE,FALSE)</f>
        <v>1</v>
      </c>
      <c r="J53" s="953" t="s">
        <v>1677</v>
      </c>
      <c r="K53" s="954"/>
      <c r="AX53" s="660" t="s">
        <v>1678</v>
      </c>
      <c r="BE53" s="660">
        <v>2051</v>
      </c>
      <c r="BH53" s="626" t="s">
        <v>1653</v>
      </c>
      <c r="BJ53" s="705" t="s">
        <v>1625</v>
      </c>
      <c r="BL53" s="705" t="s">
        <v>1625</v>
      </c>
    </row>
    <row r="54" spans="1:64" ht="11.25" customHeight="1">
      <c r="A54" s="33" t="s">
        <v>1679</v>
      </c>
      <c r="AX54" s="660" t="s">
        <v>1680</v>
      </c>
      <c r="AZ54" s="625" t="s">
        <v>1681</v>
      </c>
      <c r="BE54" s="660">
        <v>2052</v>
      </c>
      <c r="BH54" s="626" t="s">
        <v>1659</v>
      </c>
      <c r="BJ54" s="705" t="s">
        <v>1629</v>
      </c>
      <c r="BL54" s="705" t="s">
        <v>1629</v>
      </c>
    </row>
    <row r="55" spans="1:64" ht="11.25" customHeight="1">
      <c r="A55" s="33" t="s">
        <v>1682</v>
      </c>
      <c r="AX55" s="660" t="s">
        <v>1683</v>
      </c>
      <c r="AZ55" s="660" t="s">
        <v>1217</v>
      </c>
      <c r="BE55" s="660">
        <v>2053</v>
      </c>
      <c r="BH55" s="185" t="s">
        <v>28</v>
      </c>
      <c r="BJ55" s="705" t="s">
        <v>1047</v>
      </c>
      <c r="BL55" s="705" t="s">
        <v>1047</v>
      </c>
    </row>
    <row r="56" spans="1:64" ht="11.25" customHeight="1">
      <c r="A56" s="33" t="s">
        <v>1684</v>
      </c>
      <c r="D56" s="659" t="s">
        <v>1685</v>
      </c>
      <c r="E56" s="641" t="s">
        <v>109</v>
      </c>
      <c r="F56" s="33" t="s">
        <v>1686</v>
      </c>
      <c r="AX56" s="660" t="s">
        <v>1687</v>
      </c>
      <c r="AZ56" s="660" t="s">
        <v>1244</v>
      </c>
      <c r="BE56" s="660">
        <v>2054</v>
      </c>
      <c r="BH56" s="185" t="s">
        <v>28</v>
      </c>
      <c r="BJ56" s="705" t="s">
        <v>1636</v>
      </c>
      <c r="BL56" s="705" t="s">
        <v>1636</v>
      </c>
    </row>
    <row r="57" spans="1:64" ht="11.25" customHeight="1">
      <c r="A57" s="33" t="s">
        <v>1688</v>
      </c>
      <c r="D57" s="659" t="s">
        <v>1689</v>
      </c>
      <c r="E57" s="641" t="s">
        <v>109</v>
      </c>
      <c r="F57" s="33" t="s">
        <v>1686</v>
      </c>
      <c r="AX57" s="660" t="s">
        <v>1690</v>
      </c>
      <c r="AZ57" s="660" t="s">
        <v>1279</v>
      </c>
      <c r="BE57" s="660">
        <v>2055</v>
      </c>
      <c r="BJ57" s="705" t="s">
        <v>1645</v>
      </c>
      <c r="BL57" s="705" t="s">
        <v>1645</v>
      </c>
    </row>
    <row r="58" spans="1:64" ht="11.25" customHeight="1">
      <c r="A58" s="33" t="s">
        <v>1691</v>
      </c>
      <c r="D58" s="659" t="s">
        <v>1692</v>
      </c>
      <c r="E58" s="641" t="s">
        <v>109</v>
      </c>
      <c r="F58" s="33" t="s">
        <v>1686</v>
      </c>
      <c r="AX58" s="660" t="s">
        <v>1693</v>
      </c>
      <c r="BE58" s="660">
        <v>2056</v>
      </c>
      <c r="BJ58" s="705" t="s">
        <v>1649</v>
      </c>
      <c r="BL58" s="705" t="s">
        <v>1649</v>
      </c>
    </row>
    <row r="59" spans="1:64" ht="11.25" customHeight="1">
      <c r="A59" s="33" t="s">
        <v>1694</v>
      </c>
      <c r="D59" s="659" t="s">
        <v>129</v>
      </c>
      <c r="E59" s="641" t="s">
        <v>1581</v>
      </c>
      <c r="F59" s="33" t="s">
        <v>1695</v>
      </c>
      <c r="AX59" s="660" t="s">
        <v>1696</v>
      </c>
      <c r="AZ59" s="625" t="s">
        <v>1697</v>
      </c>
      <c r="BE59" s="660">
        <v>2057</v>
      </c>
      <c r="BJ59" s="705" t="s">
        <v>1653</v>
      </c>
      <c r="BL59" s="705" t="s">
        <v>1653</v>
      </c>
    </row>
    <row r="60" spans="1:64" ht="11.25" customHeight="1">
      <c r="A60" s="33" t="s">
        <v>1698</v>
      </c>
      <c r="D60" s="659" t="s">
        <v>1699</v>
      </c>
      <c r="E60" s="641" t="s">
        <v>1581</v>
      </c>
      <c r="F60" s="33" t="s">
        <v>1695</v>
      </c>
      <c r="AX60" s="660" t="s">
        <v>1700</v>
      </c>
      <c r="AZ60" s="660" t="s">
        <v>1218</v>
      </c>
      <c r="BE60" s="660">
        <v>2058</v>
      </c>
      <c r="BJ60" s="705" t="s">
        <v>1659</v>
      </c>
      <c r="BL60" s="705" t="s">
        <v>1659</v>
      </c>
    </row>
    <row r="61" spans="1:64" ht="11.25" customHeight="1">
      <c r="A61" s="33" t="s">
        <v>1701</v>
      </c>
      <c r="D61" s="659" t="s">
        <v>1702</v>
      </c>
      <c r="E61" s="641" t="s">
        <v>1581</v>
      </c>
      <c r="F61" s="33" t="s">
        <v>1695</v>
      </c>
      <c r="AX61" s="660" t="s">
        <v>1703</v>
      </c>
      <c r="AZ61" s="660" t="s">
        <v>1245</v>
      </c>
      <c r="BE61" s="660">
        <v>2059</v>
      </c>
      <c r="BL61" s="705" t="s">
        <v>1039</v>
      </c>
    </row>
    <row r="62" spans="1:64" ht="11.25" customHeight="1">
      <c r="A62" s="33" t="s">
        <v>1704</v>
      </c>
      <c r="D62" s="659" t="s">
        <v>128</v>
      </c>
      <c r="E62" s="641">
        <v>30</v>
      </c>
      <c r="F62" s="33" t="s">
        <v>1695</v>
      </c>
      <c r="AZ62" s="660" t="s">
        <v>1280</v>
      </c>
      <c r="BE62" s="660">
        <v>2060</v>
      </c>
      <c r="BL62" s="705" t="s">
        <v>1041</v>
      </c>
    </row>
    <row r="63" spans="1:64" ht="11.25" customHeight="1">
      <c r="A63" s="33" t="s">
        <v>1705</v>
      </c>
      <c r="D63" s="659" t="s">
        <v>1706</v>
      </c>
      <c r="E63" s="641">
        <v>30</v>
      </c>
      <c r="F63" s="33" t="s">
        <v>1695</v>
      </c>
      <c r="AZ63" s="660" t="s">
        <v>1312</v>
      </c>
      <c r="BE63" s="660">
        <v>2061</v>
      </c>
    </row>
    <row r="64" spans="1:64" ht="11.25" customHeight="1">
      <c r="A64" s="33" t="s">
        <v>1707</v>
      </c>
      <c r="D64" s="659" t="s">
        <v>1708</v>
      </c>
      <c r="E64" s="641">
        <v>30</v>
      </c>
      <c r="F64" s="33" t="s">
        <v>1695</v>
      </c>
      <c r="AZ64" s="660" t="s">
        <v>1335</v>
      </c>
      <c r="BE64" s="660">
        <v>2062</v>
      </c>
    </row>
    <row r="65" spans="1:66" ht="11.25" customHeight="1">
      <c r="A65" s="33" t="s">
        <v>1709</v>
      </c>
      <c r="D65" s="33"/>
      <c r="BE65" s="660">
        <v>2063</v>
      </c>
    </row>
    <row r="66" spans="1:66" ht="11.25" customHeight="1">
      <c r="A66" s="33" t="s">
        <v>1710</v>
      </c>
      <c r="AZ66" s="625" t="s">
        <v>1711</v>
      </c>
      <c r="BE66" s="660">
        <v>2064</v>
      </c>
    </row>
    <row r="67" spans="1:66" ht="11.25" customHeight="1">
      <c r="A67" s="33" t="s">
        <v>1712</v>
      </c>
      <c r="AZ67" s="660" t="s">
        <v>1219</v>
      </c>
      <c r="BE67" s="660">
        <v>2065</v>
      </c>
    </row>
    <row r="68" spans="1:66" ht="11.25" customHeight="1">
      <c r="A68" s="33" t="s">
        <v>1713</v>
      </c>
      <c r="AZ68" s="660" t="s">
        <v>1246</v>
      </c>
      <c r="BE68" s="660">
        <v>2066</v>
      </c>
      <c r="BH68" s="625" t="s">
        <v>1714</v>
      </c>
      <c r="BJ68" s="625" t="s">
        <v>1715</v>
      </c>
      <c r="BL68" s="625" t="s">
        <v>1716</v>
      </c>
      <c r="BN68" s="625" t="s">
        <v>1717</v>
      </c>
    </row>
    <row r="69" spans="1:66" ht="11.25" customHeight="1">
      <c r="A69" s="33" t="s">
        <v>1718</v>
      </c>
      <c r="AZ69" s="660" t="s">
        <v>1281</v>
      </c>
      <c r="BE69" s="660">
        <v>2067</v>
      </c>
      <c r="BH69" s="626" t="s">
        <v>1719</v>
      </c>
      <c r="BI69" s="185" t="s">
        <v>107</v>
      </c>
      <c r="BJ69" s="626" t="s">
        <v>1720</v>
      </c>
      <c r="BK69" s="185" t="s">
        <v>107</v>
      </c>
      <c r="BL69" s="626" t="s">
        <v>1721</v>
      </c>
      <c r="BM69" s="185" t="s">
        <v>107</v>
      </c>
      <c r="BN69" s="626" t="s">
        <v>1722</v>
      </c>
    </row>
    <row r="70" spans="1:66" ht="11.25" customHeight="1">
      <c r="A70" s="33" t="s">
        <v>1723</v>
      </c>
      <c r="AZ70" s="660" t="s">
        <v>1313</v>
      </c>
      <c r="BE70" s="660">
        <v>2068</v>
      </c>
      <c r="BH70" s="626" t="s">
        <v>1724</v>
      </c>
      <c r="BJ70" s="626" t="s">
        <v>1725</v>
      </c>
      <c r="BL70" s="626" t="s">
        <v>1726</v>
      </c>
      <c r="BN70" s="626" t="s">
        <v>1727</v>
      </c>
    </row>
    <row r="71" spans="1:66" ht="11.25" customHeight="1">
      <c r="A71" s="33" t="s">
        <v>1728</v>
      </c>
      <c r="AZ71" s="660" t="s">
        <v>1315</v>
      </c>
      <c r="BE71" s="660">
        <v>2069</v>
      </c>
      <c r="BH71" s="626" t="s">
        <v>1729</v>
      </c>
      <c r="BI71" s="185" t="s">
        <v>88</v>
      </c>
      <c r="BJ71" s="626" t="s">
        <v>1730</v>
      </c>
      <c r="BK71" s="185" t="s">
        <v>88</v>
      </c>
      <c r="BL71" s="626" t="s">
        <v>1731</v>
      </c>
      <c r="BM71" s="185" t="s">
        <v>88</v>
      </c>
      <c r="BN71" s="626" t="s">
        <v>1732</v>
      </c>
    </row>
    <row r="72" spans="1:66" ht="11.25" customHeight="1">
      <c r="A72" s="33" t="s">
        <v>1733</v>
      </c>
      <c r="AZ72" s="660" t="s">
        <v>19</v>
      </c>
      <c r="BE72" s="660">
        <v>2070</v>
      </c>
      <c r="BH72" s="626" t="s">
        <v>1734</v>
      </c>
      <c r="BJ72" s="626" t="s">
        <v>1734</v>
      </c>
      <c r="BL72" s="626" t="s">
        <v>1734</v>
      </c>
      <c r="BN72" s="626" t="s">
        <v>1735</v>
      </c>
    </row>
    <row r="73" spans="1:66" ht="11.25" customHeight="1">
      <c r="A73" s="33" t="s">
        <v>16</v>
      </c>
      <c r="BH73" s="626" t="s">
        <v>1736</v>
      </c>
      <c r="BI73" s="185" t="s">
        <v>109</v>
      </c>
      <c r="BJ73" s="626" t="s">
        <v>1737</v>
      </c>
      <c r="BK73" s="185" t="s">
        <v>109</v>
      </c>
      <c r="BL73" s="626" t="s">
        <v>1738</v>
      </c>
      <c r="BM73" s="185" t="s">
        <v>109</v>
      </c>
      <c r="BN73" s="626" t="s">
        <v>1739</v>
      </c>
    </row>
    <row r="74" spans="1:66" ht="11.25" customHeight="1">
      <c r="A74" s="33" t="s">
        <v>1740</v>
      </c>
      <c r="BH74" s="626" t="s">
        <v>1741</v>
      </c>
      <c r="BJ74" s="626" t="s">
        <v>1742</v>
      </c>
      <c r="BL74" s="626" t="s">
        <v>1743</v>
      </c>
      <c r="BN74" s="626" t="s">
        <v>1744</v>
      </c>
    </row>
    <row r="75" spans="1:66" ht="11.25" customHeight="1">
      <c r="A75" s="33" t="s">
        <v>1745</v>
      </c>
      <c r="AZ75" s="625" t="s">
        <v>1746</v>
      </c>
      <c r="BH75" s="626" t="s">
        <v>1747</v>
      </c>
      <c r="BJ75" s="626" t="s">
        <v>1747</v>
      </c>
      <c r="BL75" s="626" t="s">
        <v>1747</v>
      </c>
    </row>
    <row r="76" spans="1:66" ht="11.25" customHeight="1">
      <c r="A76" s="33" t="s">
        <v>1748</v>
      </c>
      <c r="AZ76" s="660" t="s">
        <v>1228</v>
      </c>
      <c r="BH76" s="626" t="s">
        <v>1749</v>
      </c>
      <c r="BJ76" s="626" t="s">
        <v>1750</v>
      </c>
      <c r="BL76" s="626" t="s">
        <v>1751</v>
      </c>
    </row>
    <row r="77" spans="1:66" ht="11.25" customHeight="1">
      <c r="A77" s="33" t="s">
        <v>1752</v>
      </c>
      <c r="AZ77" s="660" t="s">
        <v>1256</v>
      </c>
    </row>
    <row r="78" spans="1:66" ht="11.25" customHeight="1">
      <c r="A78" s="33" t="s">
        <v>1753</v>
      </c>
      <c r="AZ78" s="660" t="s">
        <v>1288</v>
      </c>
    </row>
    <row r="79" spans="1:66" ht="11.25" customHeight="1">
      <c r="A79" s="33" t="s">
        <v>1754</v>
      </c>
      <c r="AZ79" s="660" t="s">
        <v>1319</v>
      </c>
      <c r="BH79" s="625" t="s">
        <v>1755</v>
      </c>
      <c r="BJ79" s="625" t="s">
        <v>1756</v>
      </c>
      <c r="BL79" s="625" t="s">
        <v>1757</v>
      </c>
    </row>
    <row r="80" spans="1:66" ht="11.25" customHeight="1">
      <c r="A80" s="33" t="s">
        <v>1758</v>
      </c>
      <c r="AZ80" s="660" t="s">
        <v>1340</v>
      </c>
      <c r="BH80" s="626" t="s">
        <v>1759</v>
      </c>
      <c r="BJ80" s="626" t="s">
        <v>1760</v>
      </c>
      <c r="BL80" s="626" t="s">
        <v>1761</v>
      </c>
    </row>
    <row r="81" spans="1:66" ht="11.25" customHeight="1">
      <c r="A81" s="33" t="s">
        <v>1762</v>
      </c>
      <c r="AZ81" s="660" t="s">
        <v>1357</v>
      </c>
      <c r="BH81" s="626" t="s">
        <v>1763</v>
      </c>
      <c r="BJ81" s="626" t="s">
        <v>1764</v>
      </c>
      <c r="BL81" s="626" t="s">
        <v>1765</v>
      </c>
    </row>
    <row r="82" spans="1:66" ht="11.25" customHeight="1">
      <c r="A82" s="33" t="s">
        <v>1766</v>
      </c>
      <c r="AZ82" s="660" t="s">
        <v>1372</v>
      </c>
      <c r="BH82" s="626" t="s">
        <v>1767</v>
      </c>
      <c r="BJ82" s="626" t="s">
        <v>1768</v>
      </c>
      <c r="BL82" s="626" t="s">
        <v>1769</v>
      </c>
    </row>
    <row r="83" spans="1:66" ht="11.25" customHeight="1">
      <c r="A83" s="33" t="s">
        <v>1770</v>
      </c>
      <c r="BH83" s="626" t="s">
        <v>1771</v>
      </c>
      <c r="BJ83" s="626" t="s">
        <v>1772</v>
      </c>
      <c r="BL83" s="626" t="s">
        <v>1773</v>
      </c>
    </row>
    <row r="84" spans="1:66" ht="11.25" customHeight="1">
      <c r="A84" s="33" t="s">
        <v>1774</v>
      </c>
      <c r="AZ84" s="625" t="s">
        <v>1775</v>
      </c>
    </row>
    <row r="85" spans="1:66" ht="11.25" customHeight="1">
      <c r="A85" s="1009" t="s">
        <v>1776</v>
      </c>
      <c r="AZ85" s="660" t="s">
        <v>1777</v>
      </c>
    </row>
    <row r="86" spans="1:66" ht="11.25" customHeight="1">
      <c r="A86" s="33" t="s">
        <v>1778</v>
      </c>
      <c r="AZ86" s="660" t="s">
        <v>1779</v>
      </c>
      <c r="BH86" s="625" t="s">
        <v>1780</v>
      </c>
      <c r="BJ86" s="625" t="s">
        <v>1781</v>
      </c>
      <c r="BL86" s="625" t="s">
        <v>1782</v>
      </c>
    </row>
    <row r="87" spans="1:66" ht="11.25" customHeight="1">
      <c r="A87" s="33" t="s">
        <v>1783</v>
      </c>
      <c r="AZ87" s="660" t="s">
        <v>1784</v>
      </c>
      <c r="BH87" s="626" t="s">
        <v>1785</v>
      </c>
      <c r="BJ87" s="626" t="s">
        <v>1786</v>
      </c>
      <c r="BL87" s="626" t="s">
        <v>1787</v>
      </c>
    </row>
    <row r="88" spans="1:66" ht="11.25" customHeight="1">
      <c r="A88" s="33" t="s">
        <v>1788</v>
      </c>
      <c r="AZ88"/>
      <c r="BH88" s="626" t="s">
        <v>1789</v>
      </c>
      <c r="BJ88" s="626" t="s">
        <v>1790</v>
      </c>
      <c r="BL88" s="626" t="s">
        <v>1791</v>
      </c>
    </row>
    <row r="89" spans="1:66" ht="11.25" customHeight="1">
      <c r="A89" s="33" t="s">
        <v>1792</v>
      </c>
      <c r="AZ89" s="625" t="s">
        <v>1793</v>
      </c>
    </row>
    <row r="90" spans="1:66" ht="11.25" customHeight="1">
      <c r="A90" s="33" t="s">
        <v>1794</v>
      </c>
      <c r="AZ90" s="660" t="s">
        <v>1017</v>
      </c>
    </row>
    <row r="91" spans="1:66" ht="11.25" customHeight="1">
      <c r="A91" s="33" t="s">
        <v>1795</v>
      </c>
      <c r="AZ91" s="660" t="s">
        <v>1053</v>
      </c>
      <c r="BH91" s="625" t="s">
        <v>1796</v>
      </c>
      <c r="BJ91" s="625" t="s">
        <v>1797</v>
      </c>
      <c r="BL91" s="625" t="s">
        <v>1798</v>
      </c>
    </row>
    <row r="92" spans="1:66" ht="11.25" customHeight="1">
      <c r="AZ92" s="660" t="s">
        <v>1799</v>
      </c>
      <c r="BH92" s="626" t="s">
        <v>1800</v>
      </c>
      <c r="BJ92" s="626" t="s">
        <v>1801</v>
      </c>
      <c r="BL92" s="626" t="s">
        <v>1802</v>
      </c>
    </row>
    <row r="93" spans="1:66" ht="11.25" customHeight="1">
      <c r="AZ93" s="660" t="s">
        <v>1803</v>
      </c>
      <c r="BH93" s="626" t="s">
        <v>1804</v>
      </c>
      <c r="BJ93" s="626" t="s">
        <v>1805</v>
      </c>
      <c r="BL93" s="626" t="s">
        <v>1806</v>
      </c>
    </row>
    <row r="94" spans="1:66" ht="11.25" customHeight="1">
      <c r="AZ94" s="660" t="s">
        <v>1807</v>
      </c>
    </row>
    <row r="96" spans="1:66" ht="11.25" customHeight="1">
      <c r="AZ96" s="625" t="s">
        <v>1808</v>
      </c>
      <c r="BH96" s="625" t="s">
        <v>1809</v>
      </c>
      <c r="BJ96" s="625" t="s">
        <v>1810</v>
      </c>
      <c r="BL96" s="625" t="s">
        <v>1811</v>
      </c>
      <c r="BN96" s="625" t="s">
        <v>1812</v>
      </c>
    </row>
    <row r="97" spans="52:66" ht="11.25" customHeight="1">
      <c r="AZ97" s="1025" t="s">
        <v>1813</v>
      </c>
      <c r="BA97" s="370" t="s">
        <v>1814</v>
      </c>
      <c r="BH97" s="626" t="s">
        <v>1815</v>
      </c>
      <c r="BJ97" s="626" t="s">
        <v>1816</v>
      </c>
      <c r="BL97" s="626" t="s">
        <v>1817</v>
      </c>
      <c r="BN97" s="626" t="s">
        <v>1818</v>
      </c>
    </row>
    <row r="98" spans="52:66" ht="11.25" customHeight="1">
      <c r="AZ98" s="1025" t="s">
        <v>1819</v>
      </c>
      <c r="BA98" s="370" t="s">
        <v>1820</v>
      </c>
      <c r="BH98" s="626" t="s">
        <v>1821</v>
      </c>
      <c r="BJ98" s="626" t="s">
        <v>1822</v>
      </c>
      <c r="BL98" s="626" t="s">
        <v>1823</v>
      </c>
      <c r="BN98" s="626" t="s">
        <v>1824</v>
      </c>
    </row>
    <row r="99" spans="52:66" ht="22.5" customHeight="1">
      <c r="AZ99" s="1025" t="s">
        <v>1825</v>
      </c>
      <c r="BA99" s="370"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6" t="s">
        <v>1826</v>
      </c>
      <c r="BJ99" s="626" t="s">
        <v>1827</v>
      </c>
      <c r="BL99" s="626" t="s">
        <v>1828</v>
      </c>
      <c r="BN99" s="626" t="s">
        <v>1829</v>
      </c>
    </row>
    <row r="100" spans="52:66" ht="22.5" customHeight="1">
      <c r="AZ100" s="1025" t="s">
        <v>1830</v>
      </c>
      <c r="BA100" s="37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6" t="s">
        <v>1418</v>
      </c>
      <c r="BL100" s="626" t="s">
        <v>1418</v>
      </c>
      <c r="BN100" s="626" t="s">
        <v>1831</v>
      </c>
    </row>
    <row r="101" spans="52:66" ht="22.5" customHeight="1">
      <c r="AZ101" s="1025" t="s">
        <v>1832</v>
      </c>
      <c r="BA101" s="370" t="s">
        <v>1833</v>
      </c>
      <c r="BN101" s="626" t="s">
        <v>1834</v>
      </c>
    </row>
    <row r="102" spans="52:66" ht="22.5" customHeight="1">
      <c r="AZ102" s="1025" t="s">
        <v>1835</v>
      </c>
      <c r="BA102" s="37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6" t="s">
        <v>1836</v>
      </c>
    </row>
    <row r="103" spans="52:66" ht="11.25" customHeight="1">
      <c r="AZ103" s="1025" t="s">
        <v>1837</v>
      </c>
      <c r="BA103" s="370" t="s">
        <v>1838</v>
      </c>
      <c r="BN103" s="626" t="s">
        <v>1839</v>
      </c>
    </row>
    <row r="104" spans="52:66" ht="11.25" customHeight="1">
      <c r="BN104" s="626" t="s">
        <v>1840</v>
      </c>
    </row>
    <row r="105" spans="52:66" ht="11.25" customHeight="1">
      <c r="AZ105" s="625" t="s">
        <v>1841</v>
      </c>
    </row>
    <row r="106" spans="52:66" ht="11.25" customHeight="1">
      <c r="AZ106" s="660" t="s">
        <v>1842</v>
      </c>
    </row>
    <row r="107" spans="52:66" ht="11.25" customHeight="1">
      <c r="AZ107" s="660" t="s">
        <v>1843</v>
      </c>
      <c r="BH107" s="625" t="s">
        <v>1844</v>
      </c>
      <c r="BJ107" s="625" t="s">
        <v>1845</v>
      </c>
      <c r="BL107" s="625" t="s">
        <v>1846</v>
      </c>
      <c r="BN107" s="625" t="s">
        <v>1847</v>
      </c>
    </row>
    <row r="108" spans="52:66" ht="11.25" customHeight="1">
      <c r="AZ108" s="660" t="s">
        <v>570</v>
      </c>
      <c r="BH108" s="626" t="s">
        <v>1848</v>
      </c>
      <c r="BJ108" s="626" t="s">
        <v>1849</v>
      </c>
      <c r="BL108" s="626" t="s">
        <v>1503</v>
      </c>
      <c r="BN108" s="626" t="s">
        <v>1850</v>
      </c>
    </row>
    <row r="109" spans="52:66" ht="11.25" customHeight="1">
      <c r="BH109" s="626" t="s">
        <v>1851</v>
      </c>
    </row>
    <row r="110" spans="52:66" ht="11.25" customHeight="1">
      <c r="AZ110" s="625" t="s">
        <v>1852</v>
      </c>
      <c r="BH110" s="626" t="s">
        <v>1851</v>
      </c>
    </row>
    <row r="111" spans="52:66" ht="11.25" customHeight="1">
      <c r="AZ111" s="1025" t="s">
        <v>1813</v>
      </c>
      <c r="BA111" s="370" t="s">
        <v>1814</v>
      </c>
    </row>
    <row r="112" spans="52:66" ht="11.25" customHeight="1">
      <c r="AZ112" s="1025" t="s">
        <v>1819</v>
      </c>
      <c r="BA112" s="370" t="s">
        <v>1820</v>
      </c>
    </row>
    <row r="113" spans="52:60" ht="22.5" customHeight="1">
      <c r="AZ113" s="1025" t="s">
        <v>1825</v>
      </c>
      <c r="BA113" s="370"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5" t="s">
        <v>1830</v>
      </c>
      <c r="BA114" s="37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5" t="s">
        <v>1853</v>
      </c>
    </row>
    <row r="115" spans="52:60" ht="22.5" customHeight="1">
      <c r="AZ115" s="1025" t="s">
        <v>1835</v>
      </c>
      <c r="BA115" s="37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6" t="s">
        <v>495</v>
      </c>
    </row>
    <row r="116" spans="52:60" ht="11.25" customHeight="1">
      <c r="AZ116" s="1025" t="s">
        <v>1837</v>
      </c>
      <c r="BA116" s="370" t="s">
        <v>1838</v>
      </c>
      <c r="BH116" s="626" t="s">
        <v>1242</v>
      </c>
    </row>
    <row r="117" spans="52:60" ht="11.25" customHeight="1">
      <c r="BH117" s="626" t="s">
        <v>1277</v>
      </c>
    </row>
    <row r="118" spans="52:60" ht="11.25" customHeight="1">
      <c r="BH118" s="626"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85" hidden="1" customWidth="1"/>
    <col min="3" max="3" width="3" style="251" customWidth="1"/>
    <col min="4" max="4" width="6" style="252" customWidth="1"/>
    <col min="5" max="5" width="52" style="251" customWidth="1"/>
    <col min="6" max="6" width="48" style="251" customWidth="1"/>
    <col min="7" max="7" width="93" style="251" customWidth="1"/>
    <col min="8" max="8" width="8" style="251" customWidth="1"/>
    <col min="9" max="9" width="64" style="251" customWidth="1"/>
    <col min="10" max="10" width="9.140625" style="251" hidden="1"/>
  </cols>
  <sheetData>
    <row r="1" spans="1:10" ht="11.25" hidden="1" customHeight="1">
      <c r="A1" s="285" t="s">
        <v>299</v>
      </c>
      <c r="J1" s="251" t="s">
        <v>14</v>
      </c>
    </row>
    <row r="2" spans="1:10" ht="22.5" hidden="1" customHeight="1">
      <c r="A2" s="286"/>
      <c r="B2" s="286"/>
      <c r="C2" s="938" t="s">
        <v>493</v>
      </c>
      <c r="D2" s="833"/>
      <c r="E2" s="214"/>
      <c r="F2" s="854"/>
      <c r="H2" s="267"/>
      <c r="J2" s="251">
        <v>0</v>
      </c>
    </row>
    <row r="3" spans="1:10" ht="11.25" hidden="1" customHeight="1">
      <c r="J3" s="251">
        <v>0</v>
      </c>
    </row>
    <row r="4" spans="1:10" ht="11.45" customHeight="1">
      <c r="A4" s="855"/>
      <c r="B4" s="855"/>
      <c r="J4" s="251">
        <v>11</v>
      </c>
    </row>
    <row r="5" spans="1:10" ht="27.4" customHeight="1">
      <c r="D5" s="113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40"/>
      <c r="F5" s="1141"/>
      <c r="I5" s="410"/>
      <c r="J5" s="251">
        <v>26</v>
      </c>
    </row>
    <row r="6" spans="1:10" ht="18" customHeight="1">
      <c r="D6" s="1236" t="str">
        <f>IF(region_name=0,"Не определено",region_name)</f>
        <v>Свердловская область</v>
      </c>
      <c r="E6" s="1236"/>
      <c r="F6" s="1236"/>
      <c r="I6" s="410"/>
      <c r="J6" s="251">
        <v>17</v>
      </c>
    </row>
    <row r="7" spans="1:10" s="269" customFormat="1" ht="11.45" customHeight="1">
      <c r="A7" s="285"/>
      <c r="B7" s="285"/>
      <c r="D7" s="409"/>
      <c r="E7" s="409"/>
      <c r="F7" s="432"/>
      <c r="G7" s="409"/>
      <c r="J7" s="269">
        <v>11</v>
      </c>
    </row>
    <row r="8" spans="1:10" ht="11.25" hidden="1" customHeight="1">
      <c r="A8" s="286"/>
      <c r="B8" s="286"/>
      <c r="C8" s="9"/>
      <c r="D8" s="13"/>
      <c r="E8" s="1242"/>
      <c r="F8" s="1242"/>
      <c r="J8" s="251">
        <v>0</v>
      </c>
    </row>
    <row r="9" spans="1:10" ht="11.45" customHeight="1">
      <c r="A9" s="286"/>
      <c r="B9" s="286"/>
      <c r="C9" s="9"/>
      <c r="D9" s="1239" t="s">
        <v>300</v>
      </c>
      <c r="E9" s="1240"/>
      <c r="F9" s="1240"/>
      <c r="G9" s="1243" t="s">
        <v>301</v>
      </c>
      <c r="J9" s="251">
        <v>11</v>
      </c>
    </row>
    <row r="10" spans="1:10" ht="11.45" customHeight="1">
      <c r="A10" s="286"/>
      <c r="B10" s="286"/>
      <c r="C10" s="9"/>
      <c r="D10" s="265" t="s">
        <v>86</v>
      </c>
      <c r="E10" s="249" t="s">
        <v>302</v>
      </c>
      <c r="F10" s="249" t="s">
        <v>303</v>
      </c>
      <c r="G10" s="1244"/>
      <c r="J10" s="251">
        <v>11</v>
      </c>
    </row>
    <row r="11" spans="1:10" ht="1.1499999999999999" customHeight="1">
      <c r="A11" s="286"/>
      <c r="B11" s="286"/>
      <c r="C11" s="9"/>
      <c r="D11" s="258"/>
      <c r="E11" s="258"/>
      <c r="F11" s="258"/>
      <c r="G11" s="258"/>
      <c r="J11" s="251">
        <v>1</v>
      </c>
    </row>
    <row r="12" spans="1:10" ht="24" customHeight="1">
      <c r="A12" s="286"/>
      <c r="B12" s="286"/>
      <c r="C12" s="9"/>
      <c r="D12" s="833">
        <v>1</v>
      </c>
      <c r="E12" s="266"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7" t="str">
        <f>IF(org="","",org)</f>
        <v>Общество с ограниченной ответственностью "Березовский рудник"</v>
      </c>
      <c r="G12" s="266"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39"/>
      <c r="J12" s="251">
        <v>23</v>
      </c>
    </row>
    <row r="13" spans="1:10" ht="19.899999999999999" customHeight="1">
      <c r="A13" s="286"/>
      <c r="B13" s="286"/>
      <c r="C13" s="9"/>
      <c r="D13" s="833">
        <v>2</v>
      </c>
      <c r="E13" s="706" t="s">
        <v>1854</v>
      </c>
      <c r="F13" s="40" t="s">
        <v>306</v>
      </c>
      <c r="G13" s="266"/>
      <c r="H13" s="839"/>
      <c r="J13" s="251">
        <v>19</v>
      </c>
    </row>
    <row r="14" spans="1:10" ht="19.899999999999999" customHeight="1">
      <c r="A14" s="286"/>
      <c r="B14" s="286"/>
      <c r="C14" s="9"/>
      <c r="D14" s="834" t="s">
        <v>707</v>
      </c>
      <c r="E14" s="320" t="s">
        <v>1855</v>
      </c>
      <c r="F14" s="214"/>
      <c r="G14" s="64" t="s">
        <v>1856</v>
      </c>
      <c r="H14" s="839"/>
      <c r="J14" s="251">
        <v>19</v>
      </c>
    </row>
    <row r="15" spans="1:10" ht="19.899999999999999" customHeight="1">
      <c r="A15" s="286"/>
      <c r="B15" s="286"/>
      <c r="C15" s="9"/>
      <c r="D15" s="834" t="s">
        <v>307</v>
      </c>
      <c r="E15" s="320" t="s">
        <v>1857</v>
      </c>
      <c r="F15" s="214"/>
      <c r="G15" s="64" t="s">
        <v>1858</v>
      </c>
      <c r="H15" s="839"/>
      <c r="J15" s="251">
        <v>19</v>
      </c>
    </row>
    <row r="16" spans="1:10" ht="24" customHeight="1">
      <c r="A16" s="286"/>
      <c r="B16" s="286"/>
      <c r="C16" s="9"/>
      <c r="D16" s="834" t="s">
        <v>310</v>
      </c>
      <c r="E16" s="174" t="s">
        <v>1859</v>
      </c>
      <c r="F16" s="36"/>
      <c r="G16" s="266" t="s">
        <v>1860</v>
      </c>
      <c r="H16" s="839"/>
      <c r="J16" s="251">
        <v>23</v>
      </c>
    </row>
    <row r="17" spans="1:10" ht="48.2" customHeight="1">
      <c r="A17" s="286"/>
      <c r="B17" s="286"/>
      <c r="C17" s="9"/>
      <c r="D17" s="833">
        <v>3</v>
      </c>
      <c r="E17" s="706" t="s">
        <v>1861</v>
      </c>
      <c r="F17" s="214"/>
      <c r="G17" s="266" t="s">
        <v>1862</v>
      </c>
      <c r="H17" s="839"/>
      <c r="J17" s="251">
        <v>46</v>
      </c>
    </row>
    <row r="18" spans="1:10" ht="48.2" customHeight="1">
      <c r="A18" s="815">
        <v>1</v>
      </c>
      <c r="B18" s="286"/>
      <c r="C18" s="816"/>
      <c r="D18" s="833" t="s">
        <v>89</v>
      </c>
      <c r="E18" s="706" t="s">
        <v>1863</v>
      </c>
      <c r="F18" s="214"/>
      <c r="G18" s="266" t="s">
        <v>1862</v>
      </c>
      <c r="H18" s="839"/>
      <c r="I18" s="486"/>
      <c r="J18" s="251">
        <v>46</v>
      </c>
    </row>
    <row r="19" spans="1:10" ht="23.25" customHeight="1">
      <c r="A19" s="286"/>
      <c r="B19" s="286"/>
      <c r="C19" s="9"/>
      <c r="D19" s="833" t="s">
        <v>109</v>
      </c>
      <c r="E19" s="706" t="s">
        <v>1864</v>
      </c>
      <c r="F19" s="40" t="s">
        <v>306</v>
      </c>
      <c r="G19" s="1448" t="s">
        <v>1865</v>
      </c>
      <c r="H19" s="267"/>
      <c r="J19" s="251">
        <v>22</v>
      </c>
    </row>
    <row r="20" spans="1:10" s="837" customFormat="1" ht="5.25" hidden="1" customHeight="1">
      <c r="A20" s="286"/>
      <c r="B20" s="286"/>
      <c r="C20" s="836"/>
      <c r="D20" s="835" t="s">
        <v>1114</v>
      </c>
      <c r="E20" s="591"/>
      <c r="F20" s="313"/>
      <c r="G20" s="1449"/>
      <c r="J20" s="837">
        <v>0</v>
      </c>
    </row>
    <row r="21" spans="1:10" ht="15.75" customHeight="1">
      <c r="A21" s="286"/>
      <c r="B21" s="286"/>
      <c r="C21" s="9"/>
      <c r="D21" s="260"/>
      <c r="E21" s="107" t="s">
        <v>339</v>
      </c>
      <c r="F21" s="262"/>
      <c r="G21" s="1450"/>
      <c r="H21" s="839"/>
      <c r="J21" s="251">
        <v>15</v>
      </c>
    </row>
    <row r="22" spans="1:10" s="285" customFormat="1" ht="26.25" customHeight="1">
      <c r="A22" s="286"/>
      <c r="B22" s="286"/>
      <c r="C22" s="286"/>
      <c r="D22" s="833" t="s">
        <v>90</v>
      </c>
      <c r="E22" s="266" t="s">
        <v>1866</v>
      </c>
      <c r="F22" s="214"/>
      <c r="G22" s="266" t="s">
        <v>1867</v>
      </c>
      <c r="H22" s="838"/>
      <c r="J22" s="285">
        <v>25</v>
      </c>
    </row>
    <row r="23" spans="1:10" s="285" customFormat="1" ht="19.899999999999999" customHeight="1">
      <c r="A23" s="286"/>
      <c r="B23" s="286"/>
      <c r="C23" s="286"/>
      <c r="D23" s="833" t="s">
        <v>91</v>
      </c>
      <c r="E23" s="706" t="s">
        <v>1868</v>
      </c>
      <c r="F23" s="36"/>
      <c r="G23" s="266" t="s">
        <v>1869</v>
      </c>
      <c r="H23" s="838"/>
      <c r="J23" s="285">
        <v>19</v>
      </c>
    </row>
    <row r="24" spans="1:10" s="285" customFormat="1" ht="144" hidden="1" customHeight="1">
      <c r="A24" s="286"/>
      <c r="B24" s="286"/>
      <c r="C24" s="286"/>
      <c r="D24" s="833" t="s">
        <v>110</v>
      </c>
      <c r="E24" s="10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3"/>
      <c r="G24" s="10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38"/>
      <c r="J24" s="285">
        <v>0</v>
      </c>
    </row>
    <row r="25" spans="1:10" ht="11.25" hidden="1" customHeight="1">
      <c r="A25" s="285" t="s">
        <v>80</v>
      </c>
      <c r="B25" s="285">
        <v>0</v>
      </c>
      <c r="C25" s="251">
        <v>3</v>
      </c>
      <c r="D25" s="252">
        <v>6</v>
      </c>
      <c r="E25" s="251">
        <v>52</v>
      </c>
      <c r="F25" s="251">
        <v>48</v>
      </c>
      <c r="G25" s="251">
        <v>93</v>
      </c>
      <c r="H25" s="251">
        <v>8</v>
      </c>
      <c r="I25" s="251">
        <v>64</v>
      </c>
      <c r="J25" s="25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0" hidden="1"/>
    <col min="2" max="2" width="9.140625" style="60" hidden="1"/>
    <col min="3" max="3" width="3.7109375" style="10" hidden="1" customWidth="1"/>
    <col min="4" max="4" width="3" style="74" customWidth="1"/>
    <col min="5" max="5" width="6" style="10" customWidth="1"/>
    <col min="6" max="6" width="46" style="10" customWidth="1"/>
    <col min="7" max="8" width="16" style="10" customWidth="1"/>
    <col min="9" max="9" width="35" style="10" customWidth="1"/>
    <col min="10" max="10" width="89" style="10" customWidth="1"/>
    <col min="11" max="11" width="3" style="66" customWidth="1"/>
    <col min="12" max="14" width="8" style="66" customWidth="1"/>
    <col min="15" max="15" width="25" style="66" customWidth="1"/>
    <col min="16" max="16" width="14" style="66" customWidth="1"/>
    <col min="17" max="20" width="8" style="123" customWidth="1"/>
    <col min="21" max="254" width="8" style="10" customWidth="1"/>
    <col min="255" max="255" width="9.140625" style="10" hidden="1"/>
  </cols>
  <sheetData>
    <row r="1" spans="1:255" ht="22.5" hidden="1" customHeight="1">
      <c r="F1" s="10" t="s">
        <v>1870</v>
      </c>
      <c r="G1" s="10" t="s">
        <v>47</v>
      </c>
      <c r="H1" s="10" t="s">
        <v>49</v>
      </c>
      <c r="IU1" s="10" t="s">
        <v>14</v>
      </c>
    </row>
    <row r="2" spans="1:255" ht="22.5" hidden="1" customHeight="1">
      <c r="A2" s="77"/>
      <c r="B2" s="60">
        <v>1</v>
      </c>
      <c r="C2" s="60"/>
      <c r="D2" s="1038" t="s">
        <v>493</v>
      </c>
      <c r="E2" s="40"/>
      <c r="F2" s="110"/>
      <c r="G2" s="110"/>
      <c r="H2" s="110"/>
      <c r="I2" s="1053"/>
      <c r="J2" s="1054"/>
      <c r="K2" s="841"/>
      <c r="L2" s="65"/>
      <c r="M2" s="65"/>
      <c r="N2" s="66" t="str">
        <f t="array" ref="N2">IF(ISERROR(MATCH(MID(O2,1,250),MID(note_ter,1,250),0)),"n","y")</f>
        <v>n</v>
      </c>
      <c r="O2" s="65"/>
      <c r="P2" s="66" t="str">
        <f>G2&amp;"("&amp;J2&amp;")"</f>
        <v>()</v>
      </c>
      <c r="Q2" s="60"/>
      <c r="R2" s="60"/>
      <c r="S2" s="233"/>
      <c r="T2" s="60"/>
      <c r="U2" s="60"/>
      <c r="V2" s="60"/>
      <c r="W2" s="59"/>
      <c r="X2" s="59"/>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59"/>
      <c r="BU2" s="59"/>
      <c r="BV2" s="59"/>
      <c r="BW2" s="59"/>
      <c r="BX2" s="59"/>
      <c r="BY2" s="59"/>
      <c r="BZ2" s="59"/>
      <c r="CA2" s="59"/>
      <c r="CB2" s="59"/>
      <c r="CC2" s="59"/>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5" customFormat="1" ht="4.1500000000000004" customHeight="1">
      <c r="A3" s="200"/>
      <c r="D3" s="119"/>
      <c r="F3" s="142" t="s">
        <v>81</v>
      </c>
      <c r="G3" s="119" t="s">
        <v>82</v>
      </c>
      <c r="H3" s="119"/>
      <c r="I3" s="119"/>
      <c r="J3" s="124" t="s">
        <v>83</v>
      </c>
      <c r="K3" s="142" t="s">
        <v>81</v>
      </c>
      <c r="L3" s="142"/>
      <c r="M3" s="142"/>
      <c r="N3" s="142"/>
      <c r="O3" s="142"/>
      <c r="P3" s="142"/>
      <c r="Q3" s="142"/>
      <c r="R3" s="142"/>
      <c r="S3" s="142"/>
      <c r="T3" s="142"/>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65">
        <v>4</v>
      </c>
    </row>
    <row r="4" spans="1:255" s="44" customFormat="1" ht="14.65" customHeight="1">
      <c r="A4" s="10"/>
      <c r="B4" s="60"/>
      <c r="C4" s="10"/>
      <c r="D4" s="74"/>
      <c r="E4" s="10"/>
      <c r="F4" s="65"/>
      <c r="G4" s="10"/>
      <c r="H4" s="10"/>
      <c r="I4" s="10"/>
      <c r="J4" s="75"/>
      <c r="K4" s="142"/>
      <c r="L4" s="66"/>
      <c r="M4" s="66"/>
      <c r="N4" s="66"/>
      <c r="O4" s="66"/>
      <c r="P4" s="66"/>
      <c r="Q4" s="123"/>
      <c r="R4" s="123"/>
      <c r="S4" s="123"/>
      <c r="T4" s="123"/>
      <c r="IU4" s="44">
        <v>14</v>
      </c>
    </row>
    <row r="5" spans="1:255" s="44" customFormat="1" ht="27.4" customHeight="1">
      <c r="A5" s="10"/>
      <c r="B5" s="60"/>
      <c r="C5" s="10"/>
      <c r="D5" s="74"/>
      <c r="E5" s="113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2"/>
      <c r="G5" s="1132"/>
      <c r="H5" s="1132"/>
      <c r="I5" s="1132"/>
      <c r="J5" s="1132"/>
      <c r="K5" s="142"/>
      <c r="L5" s="66"/>
      <c r="M5" s="66"/>
      <c r="N5" s="66"/>
      <c r="O5" s="66"/>
      <c r="P5" s="66"/>
      <c r="Q5" s="123"/>
      <c r="R5" s="123"/>
      <c r="S5" s="123"/>
      <c r="T5" s="123"/>
      <c r="IU5" s="44">
        <v>26</v>
      </c>
    </row>
    <row r="6" spans="1:255" s="44" customFormat="1" ht="14.65" customHeight="1">
      <c r="A6" s="10"/>
      <c r="B6" s="60"/>
      <c r="C6" s="10"/>
      <c r="D6" s="74"/>
      <c r="E6" s="10"/>
      <c r="F6" s="76"/>
      <c r="G6" s="76"/>
      <c r="H6" s="76"/>
      <c r="I6" s="76"/>
      <c r="J6" s="77"/>
      <c r="K6" s="66"/>
      <c r="L6" s="66"/>
      <c r="M6" s="66"/>
      <c r="N6" s="66"/>
      <c r="O6" s="66"/>
      <c r="P6" s="66"/>
      <c r="Q6" s="123"/>
      <c r="R6" s="123"/>
      <c r="S6" s="123"/>
      <c r="T6" s="123"/>
      <c r="IU6" s="44">
        <v>14</v>
      </c>
    </row>
    <row r="7" spans="1:255" s="44" customFormat="1" ht="14.65" customHeight="1">
      <c r="A7" s="10"/>
      <c r="B7" s="60"/>
      <c r="C7" s="10"/>
      <c r="D7" s="74"/>
      <c r="E7" s="1128" t="s">
        <v>300</v>
      </c>
      <c r="F7" s="1133"/>
      <c r="G7" s="1133"/>
      <c r="H7" s="1133"/>
      <c r="I7" s="1133"/>
      <c r="J7" s="1451" t="s">
        <v>301</v>
      </c>
      <c r="K7" s="66"/>
      <c r="L7" s="66"/>
      <c r="M7" s="66"/>
      <c r="N7" s="66"/>
      <c r="O7" s="66"/>
      <c r="P7" s="66"/>
      <c r="Q7" s="123"/>
      <c r="R7" s="123"/>
      <c r="S7" s="123"/>
      <c r="T7" s="123"/>
      <c r="IU7" s="44">
        <v>14</v>
      </c>
    </row>
    <row r="8" spans="1:255" s="44" customFormat="1" ht="21" customHeight="1">
      <c r="A8" s="10"/>
      <c r="B8" s="60"/>
      <c r="C8" s="10"/>
      <c r="D8" s="74"/>
      <c r="E8" s="853" t="s">
        <v>86</v>
      </c>
      <c r="F8" s="846" t="s">
        <v>1870</v>
      </c>
      <c r="G8" s="846" t="s">
        <v>47</v>
      </c>
      <c r="H8" s="846" t="s">
        <v>49</v>
      </c>
      <c r="I8" s="846" t="s">
        <v>1871</v>
      </c>
      <c r="J8" s="1452"/>
      <c r="K8" s="66"/>
      <c r="L8" s="66"/>
      <c r="M8" s="66"/>
      <c r="N8" s="66"/>
      <c r="O8" s="66"/>
      <c r="P8" s="66"/>
      <c r="Q8" s="123"/>
      <c r="R8" s="123"/>
      <c r="S8" s="123"/>
      <c r="T8" s="123"/>
      <c r="IU8" s="44">
        <v>20</v>
      </c>
    </row>
    <row r="9" spans="1:255" ht="23.25" customHeight="1">
      <c r="B9" s="60">
        <v>1</v>
      </c>
      <c r="C9" s="60"/>
      <c r="D9" s="459"/>
      <c r="E9" s="40">
        <v>1</v>
      </c>
      <c r="F9" s="852"/>
      <c r="G9" s="110"/>
      <c r="H9" s="110"/>
      <c r="I9" s="844"/>
      <c r="J9" s="119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1"/>
      <c r="L9" s="65"/>
      <c r="M9" s="65"/>
      <c r="N9" s="66" t="str">
        <f t="array" ref="N9">IF(ISERROR(MATCH(MID(O9,1,250),MID(note_ter,1,250),0)),"n","y")</f>
        <v>n</v>
      </c>
      <c r="O9" s="65"/>
      <c r="P9" s="6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0"/>
      <c r="R9" s="60"/>
      <c r="S9" s="233"/>
      <c r="T9" s="60"/>
      <c r="U9" s="60"/>
      <c r="V9" s="60"/>
      <c r="W9" s="59"/>
      <c r="X9" s="59"/>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59"/>
      <c r="BU9" s="59"/>
      <c r="BV9" s="59"/>
      <c r="BW9" s="59"/>
      <c r="BX9" s="59"/>
      <c r="BY9" s="59"/>
      <c r="BZ9" s="59"/>
      <c r="CA9" s="59"/>
      <c r="CB9" s="59"/>
      <c r="CC9" s="5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2"/>
      <c r="D10" s="459"/>
      <c r="E10" s="847"/>
      <c r="F10" s="821" t="s">
        <v>1872</v>
      </c>
      <c r="G10" s="848"/>
      <c r="H10" s="848"/>
      <c r="I10" s="1024"/>
      <c r="J10" s="1192"/>
      <c r="K10" s="842"/>
      <c r="L10" s="65"/>
      <c r="M10" s="65"/>
      <c r="N10" s="65"/>
      <c r="P10" s="65"/>
      <c r="Q10" s="60"/>
      <c r="R10" s="60"/>
      <c r="S10" s="233"/>
      <c r="T10" s="60"/>
      <c r="U10" s="60"/>
      <c r="V10" s="60"/>
      <c r="W10" s="59"/>
      <c r="X10" s="59"/>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59"/>
      <c r="BU10" s="59"/>
      <c r="BV10" s="59"/>
      <c r="BW10" s="59"/>
      <c r="BX10" s="59"/>
      <c r="BY10" s="59"/>
      <c r="BZ10" s="59"/>
      <c r="CA10" s="59"/>
      <c r="CB10" s="59"/>
      <c r="CC10" s="59"/>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4" customFormat="1" ht="21.95" customHeight="1">
      <c r="A11" s="10"/>
      <c r="B11" s="60"/>
      <c r="C11" s="10"/>
      <c r="D11" s="74"/>
      <c r="E11" s="88"/>
      <c r="F11" s="88"/>
      <c r="G11" s="88"/>
      <c r="H11" s="88"/>
      <c r="I11" s="88"/>
      <c r="J11" s="88"/>
      <c r="K11" s="66"/>
      <c r="L11" s="66"/>
      <c r="M11" s="66"/>
      <c r="N11" s="66"/>
      <c r="O11" s="66"/>
      <c r="P11" s="66"/>
      <c r="Q11" s="123"/>
      <c r="R11" s="123"/>
      <c r="S11" s="123"/>
      <c r="T11" s="123"/>
      <c r="IU11" s="44">
        <v>21</v>
      </c>
    </row>
    <row r="12" spans="1:255" s="44" customFormat="1" ht="14.65" customHeight="1">
      <c r="A12" s="10"/>
      <c r="B12" s="60"/>
      <c r="C12" s="10"/>
      <c r="D12" s="74"/>
      <c r="E12" s="10"/>
      <c r="F12" s="10"/>
      <c r="G12" s="10"/>
      <c r="H12" s="10"/>
      <c r="I12" s="10"/>
      <c r="J12" s="10"/>
      <c r="K12" s="66"/>
      <c r="L12" s="66"/>
      <c r="M12" s="66"/>
      <c r="N12" s="66"/>
      <c r="O12" s="66"/>
      <c r="P12" s="66"/>
      <c r="Q12" s="123"/>
      <c r="R12" s="123"/>
      <c r="S12" s="123"/>
      <c r="T12" s="123"/>
      <c r="IU12" s="44">
        <v>14</v>
      </c>
    </row>
    <row r="13" spans="1:255" s="44" customFormat="1" ht="1.1499999999999999" customHeight="1">
      <c r="A13" s="10"/>
      <c r="B13" s="60"/>
      <c r="C13" s="10"/>
      <c r="D13" s="74"/>
      <c r="E13" s="10"/>
      <c r="F13" s="10"/>
      <c r="G13" s="10"/>
      <c r="H13" s="10"/>
      <c r="I13" s="10"/>
      <c r="J13" s="10"/>
      <c r="K13" s="66"/>
      <c r="L13" s="66"/>
      <c r="M13" s="66"/>
      <c r="N13" s="66"/>
      <c r="O13" s="66"/>
      <c r="P13" s="66"/>
      <c r="Q13" s="123"/>
      <c r="R13" s="123"/>
      <c r="S13" s="123"/>
      <c r="T13" s="123"/>
      <c r="IU13" s="44">
        <v>1</v>
      </c>
    </row>
    <row r="14" spans="1:255" s="89" customFormat="1" ht="10.5" customHeight="1">
      <c r="B14" s="472"/>
      <c r="D14" s="90"/>
      <c r="K14" s="66"/>
      <c r="L14" s="66"/>
      <c r="M14" s="66"/>
      <c r="N14" s="66"/>
      <c r="O14" s="66"/>
      <c r="P14" s="66"/>
      <c r="Q14" s="123"/>
      <c r="R14" s="123"/>
      <c r="S14" s="123"/>
      <c r="T14" s="123"/>
      <c r="IU14" s="89">
        <v>10</v>
      </c>
    </row>
    <row r="15" spans="1:255" s="89" customFormat="1" ht="10.5" customHeight="1">
      <c r="B15" s="472"/>
      <c r="D15" s="90"/>
      <c r="K15" s="66"/>
      <c r="L15" s="66"/>
      <c r="M15" s="66"/>
      <c r="N15" s="66"/>
      <c r="O15" s="66"/>
      <c r="P15" s="66"/>
      <c r="Q15" s="123"/>
      <c r="R15" s="123"/>
      <c r="S15" s="123"/>
      <c r="T15" s="123"/>
      <c r="IU15" s="89">
        <v>10</v>
      </c>
    </row>
    <row r="16" spans="1:255" ht="14.65" customHeight="1">
      <c r="IU16" s="10">
        <v>14</v>
      </c>
    </row>
    <row r="17" spans="1:255" ht="14.65" customHeight="1">
      <c r="IU17" s="10">
        <v>14</v>
      </c>
    </row>
    <row r="18" spans="1:255" ht="14.65" customHeight="1">
      <c r="IU18" s="10">
        <v>14</v>
      </c>
    </row>
    <row r="19" spans="1:255" ht="14.65" customHeight="1">
      <c r="G19"/>
      <c r="H19"/>
      <c r="I19"/>
      <c r="IU19" s="10">
        <v>14</v>
      </c>
    </row>
    <row r="20" spans="1:255" ht="14.65" customHeight="1">
      <c r="IU20" s="10">
        <v>14</v>
      </c>
    </row>
    <row r="21" spans="1:255" ht="14.65" customHeight="1">
      <c r="IU21" s="10">
        <v>14</v>
      </c>
    </row>
    <row r="22" spans="1:255" ht="14.65" customHeight="1">
      <c r="IU22" s="10">
        <v>14</v>
      </c>
    </row>
    <row r="23" spans="1:255" ht="14.65" customHeight="1">
      <c r="K23" s="10"/>
      <c r="L23" s="10"/>
      <c r="M23" s="10"/>
      <c r="IU23" s="10">
        <v>14</v>
      </c>
    </row>
    <row r="24" spans="1:255" ht="22.5" hidden="1" customHeight="1">
      <c r="A24" s="10" t="s">
        <v>80</v>
      </c>
      <c r="B24" s="60">
        <v>0</v>
      </c>
      <c r="C24" s="10">
        <v>0</v>
      </c>
      <c r="D24" s="74">
        <v>3</v>
      </c>
      <c r="E24" s="10">
        <v>6</v>
      </c>
      <c r="F24" s="10">
        <v>46</v>
      </c>
      <c r="G24" s="10">
        <v>16</v>
      </c>
      <c r="H24" s="10">
        <v>16</v>
      </c>
      <c r="I24" s="10">
        <v>35</v>
      </c>
      <c r="J24" s="10">
        <v>89</v>
      </c>
      <c r="K24" s="66">
        <v>3</v>
      </c>
      <c r="L24" s="66">
        <v>8</v>
      </c>
      <c r="M24" s="66">
        <v>8</v>
      </c>
      <c r="N24" s="66">
        <v>8</v>
      </c>
      <c r="O24" s="66">
        <v>25</v>
      </c>
      <c r="P24" s="66">
        <v>14</v>
      </c>
      <c r="Q24" s="123">
        <v>8</v>
      </c>
      <c r="R24" s="123">
        <v>8</v>
      </c>
      <c r="S24" s="123">
        <v>8</v>
      </c>
      <c r="T24" s="123">
        <v>8</v>
      </c>
      <c r="U24" s="10">
        <v>8</v>
      </c>
      <c r="V24" s="10">
        <v>8</v>
      </c>
      <c r="W24" s="10">
        <v>8</v>
      </c>
      <c r="X24" s="10">
        <v>8</v>
      </c>
      <c r="Y24" s="10">
        <v>8</v>
      </c>
      <c r="Z24" s="10">
        <v>8</v>
      </c>
      <c r="AA24" s="10">
        <v>8</v>
      </c>
      <c r="AB24" s="10">
        <v>8</v>
      </c>
      <c r="AC24" s="10">
        <v>8</v>
      </c>
      <c r="AD24" s="10">
        <v>8</v>
      </c>
      <c r="AE24" s="10">
        <v>8</v>
      </c>
      <c r="AF24" s="10">
        <v>8</v>
      </c>
      <c r="AG24" s="10">
        <v>8</v>
      </c>
      <c r="AH24" s="10">
        <v>8</v>
      </c>
      <c r="AI24" s="10">
        <v>8</v>
      </c>
      <c r="AJ24" s="10">
        <v>8</v>
      </c>
      <c r="AK24" s="10">
        <v>8</v>
      </c>
      <c r="AL24" s="10">
        <v>8</v>
      </c>
      <c r="AM24" s="10">
        <v>8</v>
      </c>
      <c r="AN24" s="10">
        <v>8</v>
      </c>
      <c r="AO24" s="10">
        <v>8</v>
      </c>
      <c r="AP24" s="10">
        <v>8</v>
      </c>
      <c r="AQ24" s="10">
        <v>8</v>
      </c>
      <c r="AR24" s="10">
        <v>8</v>
      </c>
      <c r="AS24" s="10">
        <v>8</v>
      </c>
      <c r="AT24" s="10">
        <v>8</v>
      </c>
      <c r="AU24" s="10">
        <v>8</v>
      </c>
      <c r="AV24" s="10">
        <v>8</v>
      </c>
      <c r="AW24" s="10">
        <v>8</v>
      </c>
      <c r="AX24" s="10">
        <v>8</v>
      </c>
      <c r="AY24" s="10">
        <v>8</v>
      </c>
      <c r="AZ24" s="10">
        <v>8</v>
      </c>
      <c r="BA24" s="10">
        <v>8</v>
      </c>
      <c r="BB24" s="10">
        <v>8</v>
      </c>
      <c r="BC24" s="10">
        <v>8</v>
      </c>
      <c r="BD24" s="10">
        <v>8</v>
      </c>
      <c r="BE24" s="10">
        <v>8</v>
      </c>
      <c r="BF24" s="10">
        <v>8</v>
      </c>
      <c r="BG24" s="10">
        <v>8</v>
      </c>
      <c r="BH24" s="10">
        <v>8</v>
      </c>
      <c r="BI24" s="10">
        <v>8</v>
      </c>
      <c r="BJ24" s="10">
        <v>8</v>
      </c>
      <c r="BK24" s="10">
        <v>8</v>
      </c>
      <c r="BL24" s="10">
        <v>8</v>
      </c>
      <c r="BM24" s="10">
        <v>8</v>
      </c>
      <c r="BN24" s="10">
        <v>8</v>
      </c>
      <c r="BO24" s="10">
        <v>8</v>
      </c>
      <c r="BP24" s="10">
        <v>8</v>
      </c>
      <c r="BQ24" s="10">
        <v>8</v>
      </c>
      <c r="BR24" s="10">
        <v>8</v>
      </c>
      <c r="BS24" s="10">
        <v>8</v>
      </c>
      <c r="BT24" s="10">
        <v>8</v>
      </c>
      <c r="BU24" s="10">
        <v>8</v>
      </c>
      <c r="BV24" s="10">
        <v>8</v>
      </c>
      <c r="BW24" s="10">
        <v>8</v>
      </c>
      <c r="BX24" s="10">
        <v>8</v>
      </c>
      <c r="BY24" s="10">
        <v>8</v>
      </c>
      <c r="BZ24" s="10">
        <v>8</v>
      </c>
      <c r="CA24" s="10">
        <v>8</v>
      </c>
      <c r="CB24" s="10">
        <v>8</v>
      </c>
      <c r="CC24" s="10">
        <v>8</v>
      </c>
      <c r="CD24" s="10">
        <v>8</v>
      </c>
      <c r="CE24" s="10">
        <v>8</v>
      </c>
      <c r="CF24" s="10">
        <v>8</v>
      </c>
      <c r="CG24" s="10">
        <v>8</v>
      </c>
      <c r="CH24" s="10">
        <v>8</v>
      </c>
      <c r="CI24" s="10">
        <v>8</v>
      </c>
      <c r="CJ24" s="10">
        <v>8</v>
      </c>
      <c r="CK24" s="10">
        <v>8</v>
      </c>
      <c r="CL24" s="10">
        <v>8</v>
      </c>
      <c r="CM24" s="10">
        <v>8</v>
      </c>
      <c r="CN24" s="10">
        <v>8</v>
      </c>
      <c r="CO24" s="10">
        <v>8</v>
      </c>
      <c r="CP24" s="10">
        <v>8</v>
      </c>
      <c r="CQ24" s="10">
        <v>8</v>
      </c>
      <c r="CR24" s="10">
        <v>8</v>
      </c>
      <c r="CS24" s="10">
        <v>8</v>
      </c>
      <c r="CT24" s="10">
        <v>8</v>
      </c>
      <c r="CU24" s="10">
        <v>8</v>
      </c>
      <c r="CV24" s="10">
        <v>8</v>
      </c>
      <c r="CW24" s="10">
        <v>8</v>
      </c>
      <c r="CX24" s="10">
        <v>8</v>
      </c>
      <c r="CY24" s="10">
        <v>8</v>
      </c>
      <c r="CZ24" s="10">
        <v>8</v>
      </c>
      <c r="DA24" s="10">
        <v>8</v>
      </c>
      <c r="DB24" s="10">
        <v>8</v>
      </c>
      <c r="DC24" s="10">
        <v>8</v>
      </c>
      <c r="DD24" s="10">
        <v>8</v>
      </c>
      <c r="DE24" s="10">
        <v>8</v>
      </c>
      <c r="DF24" s="10">
        <v>8</v>
      </c>
      <c r="DG24" s="10">
        <v>8</v>
      </c>
      <c r="DH24" s="10">
        <v>8</v>
      </c>
      <c r="DI24" s="10">
        <v>8</v>
      </c>
      <c r="DJ24" s="10">
        <v>8</v>
      </c>
      <c r="DK24" s="10">
        <v>8</v>
      </c>
      <c r="DL24" s="10">
        <v>8</v>
      </c>
      <c r="DM24" s="10">
        <v>8</v>
      </c>
      <c r="DN24" s="10">
        <v>8</v>
      </c>
      <c r="DO24" s="10">
        <v>8</v>
      </c>
      <c r="DP24" s="10">
        <v>8</v>
      </c>
      <c r="DQ24" s="10">
        <v>8</v>
      </c>
      <c r="DR24" s="10">
        <v>8</v>
      </c>
      <c r="DS24" s="10">
        <v>8</v>
      </c>
      <c r="DT24" s="10">
        <v>8</v>
      </c>
      <c r="DU24" s="10">
        <v>8</v>
      </c>
      <c r="DV24" s="10">
        <v>8</v>
      </c>
      <c r="DW24" s="10">
        <v>8</v>
      </c>
      <c r="DX24" s="10">
        <v>8</v>
      </c>
      <c r="DY24" s="10">
        <v>8</v>
      </c>
      <c r="DZ24" s="10">
        <v>8</v>
      </c>
      <c r="EA24" s="10">
        <v>8</v>
      </c>
      <c r="EB24" s="10">
        <v>8</v>
      </c>
      <c r="EC24" s="10">
        <v>8</v>
      </c>
      <c r="ED24" s="10">
        <v>8</v>
      </c>
      <c r="EE24" s="10">
        <v>8</v>
      </c>
      <c r="EF24" s="10">
        <v>8</v>
      </c>
      <c r="EG24" s="10">
        <v>8</v>
      </c>
      <c r="EH24" s="10">
        <v>8</v>
      </c>
      <c r="EI24" s="10">
        <v>8</v>
      </c>
      <c r="EJ24" s="10">
        <v>8</v>
      </c>
      <c r="EK24" s="10">
        <v>8</v>
      </c>
      <c r="EL24" s="10">
        <v>8</v>
      </c>
      <c r="EM24" s="10">
        <v>8</v>
      </c>
      <c r="EN24" s="10">
        <v>8</v>
      </c>
      <c r="EO24" s="10">
        <v>8</v>
      </c>
      <c r="EP24" s="10">
        <v>8</v>
      </c>
      <c r="EQ24" s="10">
        <v>8</v>
      </c>
      <c r="ER24" s="10">
        <v>8</v>
      </c>
      <c r="ES24" s="10">
        <v>8</v>
      </c>
      <c r="ET24" s="10">
        <v>8</v>
      </c>
      <c r="EU24" s="10">
        <v>8</v>
      </c>
      <c r="EV24" s="10">
        <v>8</v>
      </c>
      <c r="EW24" s="10">
        <v>8</v>
      </c>
      <c r="EX24" s="10">
        <v>8</v>
      </c>
      <c r="EY24" s="10">
        <v>8</v>
      </c>
      <c r="EZ24" s="10">
        <v>8</v>
      </c>
      <c r="FA24" s="10">
        <v>8</v>
      </c>
      <c r="FB24" s="10">
        <v>8</v>
      </c>
      <c r="FC24" s="10">
        <v>8</v>
      </c>
      <c r="FD24" s="10">
        <v>8</v>
      </c>
      <c r="FE24" s="10">
        <v>8</v>
      </c>
      <c r="FF24" s="10">
        <v>8</v>
      </c>
      <c r="FG24" s="10">
        <v>8</v>
      </c>
      <c r="FH24" s="10">
        <v>8</v>
      </c>
      <c r="FI24" s="10">
        <v>8</v>
      </c>
      <c r="FJ24" s="10">
        <v>8</v>
      </c>
      <c r="FK24" s="10">
        <v>8</v>
      </c>
      <c r="FL24" s="10">
        <v>8</v>
      </c>
      <c r="FM24" s="10">
        <v>8</v>
      </c>
      <c r="FN24" s="10">
        <v>8</v>
      </c>
      <c r="FO24" s="10">
        <v>8</v>
      </c>
      <c r="FP24" s="10">
        <v>8</v>
      </c>
      <c r="FQ24" s="10">
        <v>8</v>
      </c>
      <c r="FR24" s="10">
        <v>8</v>
      </c>
      <c r="FS24" s="10">
        <v>8</v>
      </c>
      <c r="FT24" s="10">
        <v>8</v>
      </c>
      <c r="FU24" s="10">
        <v>8</v>
      </c>
      <c r="FV24" s="10">
        <v>8</v>
      </c>
      <c r="FW24" s="10">
        <v>8</v>
      </c>
      <c r="FX24" s="10">
        <v>8</v>
      </c>
      <c r="FY24" s="10">
        <v>8</v>
      </c>
      <c r="FZ24" s="10">
        <v>8</v>
      </c>
      <c r="GA24" s="10">
        <v>8</v>
      </c>
      <c r="GB24" s="10">
        <v>8</v>
      </c>
      <c r="GC24" s="10">
        <v>8</v>
      </c>
      <c r="GD24" s="10">
        <v>8</v>
      </c>
      <c r="GE24" s="10">
        <v>8</v>
      </c>
      <c r="GF24" s="10">
        <v>8</v>
      </c>
      <c r="GG24" s="10">
        <v>8</v>
      </c>
      <c r="GH24" s="10">
        <v>8</v>
      </c>
      <c r="GI24" s="10">
        <v>8</v>
      </c>
      <c r="GJ24" s="10">
        <v>8</v>
      </c>
      <c r="GK24" s="10">
        <v>8</v>
      </c>
      <c r="GL24" s="10">
        <v>8</v>
      </c>
      <c r="GM24" s="10">
        <v>8</v>
      </c>
      <c r="GN24" s="10">
        <v>8</v>
      </c>
      <c r="GO24" s="10">
        <v>8</v>
      </c>
      <c r="GP24" s="10">
        <v>8</v>
      </c>
      <c r="GQ24" s="10">
        <v>8</v>
      </c>
      <c r="GR24" s="10">
        <v>8</v>
      </c>
      <c r="GS24" s="10">
        <v>8</v>
      </c>
      <c r="GT24" s="10">
        <v>8</v>
      </c>
      <c r="GU24" s="10">
        <v>8</v>
      </c>
      <c r="GV24" s="10">
        <v>8</v>
      </c>
      <c r="GW24" s="10">
        <v>8</v>
      </c>
      <c r="GX24" s="10">
        <v>8</v>
      </c>
      <c r="GY24" s="10">
        <v>8</v>
      </c>
      <c r="GZ24" s="10">
        <v>8</v>
      </c>
      <c r="HA24" s="10">
        <v>8</v>
      </c>
      <c r="HB24" s="10">
        <v>8</v>
      </c>
      <c r="HC24" s="10">
        <v>8</v>
      </c>
      <c r="HD24" s="10">
        <v>8</v>
      </c>
      <c r="HE24" s="10">
        <v>8</v>
      </c>
      <c r="HF24" s="10">
        <v>8</v>
      </c>
      <c r="HG24" s="10">
        <v>8</v>
      </c>
      <c r="HH24" s="10">
        <v>8</v>
      </c>
      <c r="HI24" s="10">
        <v>8</v>
      </c>
      <c r="HJ24" s="10">
        <v>8</v>
      </c>
      <c r="HK24" s="10">
        <v>8</v>
      </c>
      <c r="HL24" s="10">
        <v>8</v>
      </c>
      <c r="HM24" s="10">
        <v>8</v>
      </c>
      <c r="HN24" s="10">
        <v>8</v>
      </c>
      <c r="HO24" s="10">
        <v>8</v>
      </c>
      <c r="HP24" s="10">
        <v>8</v>
      </c>
      <c r="HQ24" s="10">
        <v>8</v>
      </c>
      <c r="HR24" s="10">
        <v>8</v>
      </c>
      <c r="HS24" s="10">
        <v>8</v>
      </c>
      <c r="HT24" s="10">
        <v>8</v>
      </c>
      <c r="HU24" s="10">
        <v>8</v>
      </c>
      <c r="HV24" s="10">
        <v>8</v>
      </c>
      <c r="HW24" s="10">
        <v>8</v>
      </c>
      <c r="HX24" s="10">
        <v>8</v>
      </c>
      <c r="HY24" s="10">
        <v>8</v>
      </c>
      <c r="HZ24" s="10">
        <v>8</v>
      </c>
      <c r="IA24" s="10">
        <v>8</v>
      </c>
      <c r="IB24" s="10">
        <v>8</v>
      </c>
      <c r="IC24" s="10">
        <v>8</v>
      </c>
      <c r="ID24" s="10">
        <v>8</v>
      </c>
      <c r="IE24" s="10">
        <v>8</v>
      </c>
      <c r="IF24" s="10">
        <v>8</v>
      </c>
      <c r="IG24" s="10">
        <v>8</v>
      </c>
      <c r="IH24" s="10">
        <v>8</v>
      </c>
      <c r="II24" s="10">
        <v>8</v>
      </c>
      <c r="IJ24" s="10">
        <v>8</v>
      </c>
      <c r="IK24" s="10">
        <v>8</v>
      </c>
      <c r="IL24" s="10">
        <v>8</v>
      </c>
      <c r="IM24" s="10">
        <v>8</v>
      </c>
      <c r="IN24" s="10">
        <v>8</v>
      </c>
      <c r="IO24" s="10">
        <v>8</v>
      </c>
      <c r="IP24" s="10">
        <v>8</v>
      </c>
      <c r="IQ24" s="10">
        <v>8</v>
      </c>
      <c r="IR24" s="10">
        <v>8</v>
      </c>
      <c r="IS24" s="10">
        <v>8</v>
      </c>
      <c r="IT24" s="10">
        <v>8</v>
      </c>
      <c r="IU24" s="1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0" hidden="1"/>
    <col min="2" max="2" width="9.140625" style="60" hidden="1"/>
    <col min="3" max="3" width="3.7109375" style="10" hidden="1" customWidth="1"/>
    <col min="4" max="4" width="3" style="74"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6" customWidth="1"/>
    <col min="14" max="16" width="8" style="66" customWidth="1"/>
    <col min="17" max="17" width="25" style="66" customWidth="1"/>
    <col min="18" max="18" width="14" style="66" customWidth="1"/>
    <col min="19" max="22" width="8" style="123" customWidth="1"/>
    <col min="23" max="256" width="8" style="10" customWidth="1"/>
    <col min="257" max="257" width="9.140625" style="10" hidden="1"/>
  </cols>
  <sheetData>
    <row r="1" spans="1:257" ht="22.5" hidden="1" customHeight="1">
      <c r="IW1" s="10" t="s">
        <v>14</v>
      </c>
    </row>
    <row r="2" spans="1:257" ht="22.5" hidden="1" customHeight="1">
      <c r="A2" s="77"/>
      <c r="B2" s="60">
        <v>1</v>
      </c>
      <c r="C2" s="60"/>
      <c r="D2" s="1038" t="s">
        <v>493</v>
      </c>
      <c r="E2" s="386"/>
      <c r="F2" s="1020" t="str">
        <f>IF(ROIV_INFO_NAME="","",ROIV_INFO_NAME)</f>
        <v>Общество с ограниченной ответственностью "Березовский рудник"</v>
      </c>
      <c r="G2" s="1032" t="s">
        <v>28</v>
      </c>
      <c r="H2" s="1031"/>
      <c r="I2" s="844"/>
      <c r="J2" s="225"/>
      <c r="K2" s="225"/>
      <c r="L2" s="125"/>
      <c r="M2" s="841" t="e">
        <f ca="1">MERGEVALUE(F2)</f>
        <v>#NAME?</v>
      </c>
      <c r="N2" s="65"/>
      <c r="O2" s="65"/>
      <c r="P2" s="66" t="str">
        <f t="array" ref="P2">IF(ISERROR(MATCH(MID(Q2,1,250),MID(note_ter,1,250),0)),"n","y")</f>
        <v>n</v>
      </c>
      <c r="Q2" s="65"/>
      <c r="R2" s="66" t="str">
        <f>G2&amp;"("&amp;L2&amp;")"</f>
        <v>()</v>
      </c>
      <c r="S2" s="60"/>
      <c r="T2" s="60"/>
      <c r="U2" s="233"/>
      <c r="V2" s="60"/>
      <c r="W2" s="60"/>
      <c r="X2" s="60"/>
      <c r="Y2" s="59"/>
      <c r="Z2" s="59"/>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59"/>
      <c r="BW2" s="59"/>
      <c r="BX2" s="59"/>
      <c r="BY2" s="59"/>
      <c r="BZ2" s="59"/>
      <c r="CA2" s="59"/>
      <c r="CB2" s="59"/>
      <c r="CC2" s="59"/>
      <c r="CD2" s="59"/>
      <c r="CE2" s="59"/>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5" customFormat="1" ht="5.25" hidden="1" customHeight="1">
      <c r="A3" s="200"/>
      <c r="D3" s="119"/>
      <c r="F3" s="142" t="s">
        <v>81</v>
      </c>
      <c r="G3" s="943" t="s">
        <v>82</v>
      </c>
      <c r="H3" s="119"/>
      <c r="I3" s="119"/>
      <c r="J3" s="119"/>
      <c r="K3" s="119"/>
      <c r="L3" s="124" t="s">
        <v>83</v>
      </c>
      <c r="M3" s="142" t="s">
        <v>81</v>
      </c>
      <c r="N3" s="142"/>
      <c r="O3" s="142"/>
      <c r="P3" s="142"/>
      <c r="Q3" s="142"/>
      <c r="R3" s="142"/>
      <c r="S3" s="142"/>
      <c r="T3" s="142"/>
      <c r="U3" s="142"/>
      <c r="V3" s="142"/>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124"/>
      <c r="IV3" s="124"/>
      <c r="IW3" s="65">
        <v>0</v>
      </c>
    </row>
    <row r="4" spans="1:257" s="44" customFormat="1" ht="14.65" customHeight="1">
      <c r="A4" s="10"/>
      <c r="B4" s="60"/>
      <c r="C4" s="10"/>
      <c r="D4" s="74"/>
      <c r="E4" s="10"/>
      <c r="F4" s="10"/>
      <c r="G4" s="10"/>
      <c r="H4" s="10"/>
      <c r="I4" s="10"/>
      <c r="J4" s="10"/>
      <c r="K4" s="10"/>
      <c r="L4" s="75"/>
      <c r="M4" s="142"/>
      <c r="N4" s="66"/>
      <c r="O4" s="66"/>
      <c r="P4" s="66"/>
      <c r="Q4" s="66"/>
      <c r="R4" s="66"/>
      <c r="S4" s="123"/>
      <c r="T4" s="123"/>
      <c r="U4" s="123"/>
      <c r="V4" s="123"/>
      <c r="IW4" s="44">
        <v>14</v>
      </c>
    </row>
    <row r="5" spans="1:257" s="44" customFormat="1" ht="27.4" customHeight="1">
      <c r="A5" s="10"/>
      <c r="B5" s="60"/>
      <c r="C5" s="10"/>
      <c r="D5" s="74"/>
      <c r="E5" s="113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2"/>
      <c r="G5" s="1132"/>
      <c r="H5" s="1132"/>
      <c r="I5" s="1132"/>
      <c r="J5" s="1132"/>
      <c r="K5" s="1132"/>
      <c r="L5" s="10"/>
      <c r="M5" s="142"/>
      <c r="N5" s="66"/>
      <c r="O5" s="66"/>
      <c r="P5" s="66"/>
      <c r="Q5" s="66"/>
      <c r="R5" s="66"/>
      <c r="S5" s="123"/>
      <c r="T5" s="123"/>
      <c r="U5" s="123"/>
      <c r="V5" s="123"/>
      <c r="IW5" s="44">
        <v>26</v>
      </c>
    </row>
    <row r="6" spans="1:257" s="44" customFormat="1" ht="14.65" customHeight="1">
      <c r="A6" s="10"/>
      <c r="B6" s="60"/>
      <c r="C6" s="10"/>
      <c r="D6" s="74"/>
      <c r="E6" s="10"/>
      <c r="F6" s="76"/>
      <c r="G6" s="76"/>
      <c r="H6" s="76"/>
      <c r="I6" s="76"/>
      <c r="J6" s="76"/>
      <c r="K6" s="76"/>
      <c r="L6" s="77"/>
      <c r="M6" s="66"/>
      <c r="N6" s="66"/>
      <c r="O6" s="66"/>
      <c r="P6" s="66"/>
      <c r="Q6" s="66"/>
      <c r="R6" s="66"/>
      <c r="S6" s="123"/>
      <c r="T6" s="123"/>
      <c r="U6" s="123"/>
      <c r="V6" s="123"/>
      <c r="IW6" s="44">
        <v>14</v>
      </c>
    </row>
    <row r="7" spans="1:257" s="44" customFormat="1" ht="14.65" customHeight="1">
      <c r="A7" s="10"/>
      <c r="B7" s="60"/>
      <c r="C7" s="10"/>
      <c r="D7" s="74"/>
      <c r="E7" s="1128" t="s">
        <v>300</v>
      </c>
      <c r="F7" s="1133"/>
      <c r="G7" s="1133"/>
      <c r="H7" s="1133"/>
      <c r="I7" s="1133"/>
      <c r="J7" s="1133"/>
      <c r="K7" s="1133"/>
      <c r="L7" s="1451" t="s">
        <v>301</v>
      </c>
      <c r="M7" s="66"/>
      <c r="N7" s="66"/>
      <c r="O7" s="66"/>
      <c r="P7" s="66"/>
      <c r="Q7" s="66"/>
      <c r="R7" s="66"/>
      <c r="S7" s="123"/>
      <c r="T7" s="123"/>
      <c r="U7" s="123"/>
      <c r="V7" s="123"/>
      <c r="IW7" s="44">
        <v>14</v>
      </c>
    </row>
    <row r="8" spans="1:257" s="44" customFormat="1" ht="67.150000000000006" customHeight="1">
      <c r="A8" s="10"/>
      <c r="B8" s="60"/>
      <c r="C8" s="10"/>
      <c r="D8" s="74"/>
      <c r="E8" s="1455" t="s">
        <v>86</v>
      </c>
      <c r="F8" s="14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58"/>
      <c r="I8" s="1459"/>
      <c r="J8" s="14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53"/>
      <c r="M8" s="66"/>
      <c r="N8" s="66"/>
      <c r="O8" s="66"/>
      <c r="P8" s="66"/>
      <c r="Q8" s="66"/>
      <c r="R8" s="66"/>
      <c r="S8" s="123"/>
      <c r="T8" s="123"/>
      <c r="U8" s="123"/>
      <c r="V8" s="123"/>
      <c r="IW8" s="44">
        <v>64</v>
      </c>
    </row>
    <row r="9" spans="1:257" s="44" customFormat="1" ht="29.25" customHeight="1">
      <c r="A9" s="10"/>
      <c r="B9" s="60"/>
      <c r="C9" s="10"/>
      <c r="D9" s="74"/>
      <c r="E9" s="1456"/>
      <c r="F9" s="1456"/>
      <c r="G9" s="843" t="s">
        <v>1873</v>
      </c>
      <c r="H9" s="843" t="s">
        <v>1874</v>
      </c>
      <c r="I9" s="843" t="s">
        <v>1875</v>
      </c>
      <c r="J9" s="1456"/>
      <c r="K9" s="1456"/>
      <c r="L9" s="1452"/>
      <c r="M9" s="66"/>
      <c r="N9" s="66"/>
      <c r="O9" s="66"/>
      <c r="P9" s="66"/>
      <c r="Q9" s="66"/>
      <c r="R9" s="66"/>
      <c r="S9" s="123"/>
      <c r="T9" s="123"/>
      <c r="U9" s="123"/>
      <c r="V9" s="123"/>
      <c r="IW9" s="44">
        <v>28</v>
      </c>
    </row>
    <row r="10" spans="1:257" ht="23.25" customHeight="1">
      <c r="A10" s="1131"/>
      <c r="B10" s="60">
        <v>1</v>
      </c>
      <c r="C10" s="60"/>
      <c r="D10" s="458"/>
      <c r="E10" s="444">
        <v>1</v>
      </c>
      <c r="F10" s="845" t="str">
        <f>IF(ROIV_INFO_NAME="","",ROIV_INFO_NAME)</f>
        <v>Общество с ограниченной ответственностью "Березовский рудник"</v>
      </c>
      <c r="G10" s="940" t="s">
        <v>28</v>
      </c>
      <c r="H10" s="1031"/>
      <c r="I10" s="840"/>
      <c r="J10" s="225"/>
      <c r="K10" s="225"/>
      <c r="L10" s="1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1" t="e">
        <f ca="1">MERGEVALUE(F10)</f>
        <v>#NAME?</v>
      </c>
      <c r="N10" s="65"/>
      <c r="O10" s="65"/>
      <c r="P10" s="66" t="str">
        <f t="array" ref="P10">IF(ISERROR(MATCH(MID(Q10,1,250),MID(note_ter,1,250),0)),"n","y")</f>
        <v>n</v>
      </c>
      <c r="Q10" s="65"/>
      <c r="R10" s="6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0"/>
      <c r="T10" s="60"/>
      <c r="U10" s="233"/>
      <c r="V10" s="60"/>
      <c r="W10" s="60"/>
      <c r="X10" s="60"/>
      <c r="Y10" s="59"/>
      <c r="Z10" s="59"/>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59"/>
      <c r="BW10" s="59"/>
      <c r="BX10" s="59"/>
      <c r="BY10" s="59"/>
      <c r="BZ10" s="59"/>
      <c r="CA10" s="59"/>
      <c r="CB10" s="59"/>
      <c r="CC10" s="59"/>
      <c r="CD10" s="59"/>
      <c r="CE10" s="59"/>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1"/>
      <c r="C11" s="232"/>
      <c r="D11" s="459"/>
      <c r="E11" s="234"/>
      <c r="F11" s="51" t="s">
        <v>1876</v>
      </c>
      <c r="G11" s="94"/>
      <c r="H11" s="94"/>
      <c r="I11" s="94"/>
      <c r="J11" s="94"/>
      <c r="K11" s="235"/>
      <c r="L11" s="1454"/>
      <c r="M11" s="842"/>
      <c r="N11" s="65"/>
      <c r="O11" s="65"/>
      <c r="P11" s="65"/>
      <c r="R11" s="65"/>
      <c r="S11" s="60"/>
      <c r="T11" s="60"/>
      <c r="U11" s="233"/>
      <c r="V11" s="60"/>
      <c r="W11" s="60"/>
      <c r="X11" s="60"/>
      <c r="Y11" s="59"/>
      <c r="Z11" s="59"/>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59"/>
      <c r="BW11" s="59"/>
      <c r="BX11" s="59"/>
      <c r="BY11" s="59"/>
      <c r="BZ11" s="59"/>
      <c r="CA11" s="59"/>
      <c r="CB11" s="59"/>
      <c r="CC11" s="59"/>
      <c r="CD11" s="59"/>
      <c r="CE11" s="59"/>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0"/>
      <c r="C12" s="10"/>
      <c r="D12" s="74"/>
      <c r="E12" s="88"/>
      <c r="F12" s="88"/>
      <c r="G12" s="88"/>
      <c r="H12" s="88"/>
      <c r="I12" s="88"/>
      <c r="J12" s="88"/>
      <c r="K12" s="88"/>
      <c r="L12" s="88"/>
      <c r="M12" s="66"/>
      <c r="N12" s="66"/>
      <c r="O12" s="66"/>
      <c r="P12" s="66"/>
      <c r="Q12" s="66"/>
      <c r="R12" s="66"/>
      <c r="S12" s="123"/>
      <c r="T12" s="123"/>
      <c r="U12" s="123"/>
      <c r="V12" s="123"/>
      <c r="IW12" s="44">
        <v>21</v>
      </c>
    </row>
    <row r="13" spans="1:257" s="44" customFormat="1" ht="14.65" customHeight="1">
      <c r="A13" s="10"/>
      <c r="B13" s="60"/>
      <c r="C13" s="10"/>
      <c r="D13" s="74"/>
      <c r="E13" s="10"/>
      <c r="F13" s="10"/>
      <c r="G13" s="10"/>
      <c r="H13" s="10"/>
      <c r="I13" s="10"/>
      <c r="J13" s="10"/>
      <c r="K13" s="10"/>
      <c r="L13" s="10"/>
      <c r="M13" s="66"/>
      <c r="N13" s="66"/>
      <c r="O13" s="66"/>
      <c r="P13" s="66"/>
      <c r="Q13" s="66"/>
      <c r="R13" s="66"/>
      <c r="S13" s="123"/>
      <c r="T13" s="123"/>
      <c r="U13" s="123"/>
      <c r="V13" s="123"/>
      <c r="IW13" s="44">
        <v>14</v>
      </c>
    </row>
    <row r="14" spans="1:257" s="44" customFormat="1" ht="1.1499999999999999" customHeight="1">
      <c r="A14" s="10"/>
      <c r="B14" s="60"/>
      <c r="C14" s="10"/>
      <c r="D14" s="74"/>
      <c r="E14" s="10"/>
      <c r="F14" s="10"/>
      <c r="G14" s="10"/>
      <c r="H14" s="10"/>
      <c r="I14" s="10"/>
      <c r="J14" s="10"/>
      <c r="K14" s="10"/>
      <c r="L14" s="10"/>
      <c r="M14" s="66"/>
      <c r="N14" s="66"/>
      <c r="O14" s="66"/>
      <c r="P14" s="66"/>
      <c r="Q14" s="66"/>
      <c r="R14" s="66"/>
      <c r="S14" s="123"/>
      <c r="T14" s="123"/>
      <c r="U14" s="123"/>
      <c r="V14" s="123"/>
      <c r="IW14" s="44">
        <v>1</v>
      </c>
    </row>
    <row r="15" spans="1:257" ht="22.5" hidden="1" customHeight="1">
      <c r="A15" s="10" t="s">
        <v>80</v>
      </c>
      <c r="B15" s="60">
        <v>0</v>
      </c>
      <c r="C15" s="10">
        <v>0</v>
      </c>
      <c r="D15" s="74">
        <v>3</v>
      </c>
      <c r="E15" s="10">
        <v>6</v>
      </c>
      <c r="F15" s="10">
        <v>27</v>
      </c>
      <c r="G15" s="10">
        <v>16</v>
      </c>
      <c r="H15" s="10">
        <v>12</v>
      </c>
      <c r="I15" s="10">
        <v>32</v>
      </c>
      <c r="J15" s="10">
        <v>41</v>
      </c>
      <c r="K15" s="10">
        <v>41</v>
      </c>
      <c r="L15" s="10">
        <v>89</v>
      </c>
      <c r="M15" s="66">
        <v>3</v>
      </c>
      <c r="N15" s="66">
        <v>8</v>
      </c>
      <c r="O15" s="66">
        <v>8</v>
      </c>
      <c r="P15" s="66">
        <v>8</v>
      </c>
      <c r="Q15" s="66">
        <v>25</v>
      </c>
      <c r="R15" s="66">
        <v>14</v>
      </c>
      <c r="S15" s="123">
        <v>8</v>
      </c>
      <c r="T15" s="123">
        <v>8</v>
      </c>
      <c r="U15" s="123">
        <v>8</v>
      </c>
      <c r="V15" s="123">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0" hidden="1"/>
    <col min="2" max="2" width="9.140625" style="60" hidden="1"/>
    <col min="3" max="3" width="3.7109375" style="10" hidden="1" customWidth="1"/>
    <col min="4" max="4" width="3" style="74"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6" customWidth="1"/>
    <col min="14" max="16" width="8" style="66" customWidth="1"/>
    <col min="17" max="17" width="25" style="66" customWidth="1"/>
    <col min="18" max="18" width="14" style="66" customWidth="1"/>
    <col min="19" max="22" width="8" style="123" customWidth="1"/>
    <col min="23" max="256" width="8" style="10" customWidth="1"/>
    <col min="257" max="257" width="9.140625" style="10" hidden="1"/>
  </cols>
  <sheetData>
    <row r="1" spans="1:257" ht="22.5" hidden="1" customHeight="1">
      <c r="IW1" s="10" t="s">
        <v>14</v>
      </c>
    </row>
    <row r="2" spans="1:257" ht="22.5" hidden="1" customHeight="1">
      <c r="A2" s="77"/>
      <c r="B2" s="60">
        <v>1</v>
      </c>
      <c r="C2" s="60"/>
      <c r="D2" s="1038" t="s">
        <v>493</v>
      </c>
      <c r="E2" s="40"/>
      <c r="F2" s="1020" t="str">
        <f>IF(ROIV_INFO_NAME="","",ROIV_INFO_NAME)</f>
        <v>Общество с ограниченной ответственностью "Березовский рудник"</v>
      </c>
      <c r="G2" s="940" t="s">
        <v>28</v>
      </c>
      <c r="H2" s="1031"/>
      <c r="I2" s="844"/>
      <c r="J2" s="225"/>
      <c r="K2" s="225"/>
      <c r="L2" s="125"/>
      <c r="M2" s="841" t="e">
        <f ca="1">MERGEVALUE(F2)</f>
        <v>#NAME?</v>
      </c>
      <c r="N2" s="65"/>
      <c r="O2" s="65"/>
      <c r="P2" s="66" t="str">
        <f t="array" ref="P2">IF(ISERROR(MATCH(MID(Q2,1,250),MID(note_ter,1,250),0)),"n","y")</f>
        <v>n</v>
      </c>
      <c r="Q2" s="65"/>
      <c r="R2" s="66" t="str">
        <f>G2&amp;"("&amp;L2&amp;")"</f>
        <v>()</v>
      </c>
      <c r="S2" s="60"/>
      <c r="T2" s="60"/>
      <c r="U2" s="233"/>
      <c r="V2" s="60"/>
      <c r="W2" s="60"/>
      <c r="X2" s="60"/>
      <c r="Y2" s="59"/>
      <c r="Z2" s="59"/>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59"/>
      <c r="BW2" s="59"/>
      <c r="BX2" s="59"/>
      <c r="BY2" s="59"/>
      <c r="BZ2" s="59"/>
      <c r="CA2" s="59"/>
      <c r="CB2" s="59"/>
      <c r="CC2" s="59"/>
      <c r="CD2" s="59"/>
      <c r="CE2" s="59"/>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5" customFormat="1" ht="5.25" hidden="1" customHeight="1">
      <c r="A3" s="200"/>
      <c r="D3" s="119"/>
      <c r="F3" s="142" t="s">
        <v>81</v>
      </c>
      <c r="G3" s="943" t="s">
        <v>82</v>
      </c>
      <c r="H3" s="119"/>
      <c r="I3" s="119"/>
      <c r="J3" s="119"/>
      <c r="K3" s="119"/>
      <c r="L3" s="124" t="s">
        <v>83</v>
      </c>
      <c r="M3" s="142" t="s">
        <v>81</v>
      </c>
      <c r="N3" s="142"/>
      <c r="O3" s="142"/>
      <c r="P3" s="142"/>
      <c r="Q3" s="142"/>
      <c r="R3" s="142"/>
      <c r="S3" s="142"/>
      <c r="T3" s="142"/>
      <c r="U3" s="142"/>
      <c r="V3" s="142"/>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124"/>
      <c r="IV3" s="124"/>
      <c r="IW3" s="65">
        <v>0</v>
      </c>
    </row>
    <row r="4" spans="1:257" s="44" customFormat="1" ht="14.65" customHeight="1">
      <c r="A4" s="10"/>
      <c r="B4" s="60"/>
      <c r="C4" s="10"/>
      <c r="D4" s="74"/>
      <c r="E4" s="10"/>
      <c r="F4" s="10"/>
      <c r="G4" s="10"/>
      <c r="H4" s="10"/>
      <c r="I4" s="10"/>
      <c r="J4" s="10"/>
      <c r="K4" s="10"/>
      <c r="L4" s="75"/>
      <c r="M4" s="142"/>
      <c r="N4" s="66"/>
      <c r="O4" s="66"/>
      <c r="P4" s="66"/>
      <c r="Q4" s="66"/>
      <c r="R4" s="66"/>
      <c r="S4" s="123"/>
      <c r="T4" s="123"/>
      <c r="U4" s="123"/>
      <c r="V4" s="123"/>
      <c r="IW4" s="44">
        <v>14</v>
      </c>
    </row>
    <row r="5" spans="1:257" s="44" customFormat="1" ht="27.4" customHeight="1">
      <c r="A5" s="10"/>
      <c r="B5" s="60"/>
      <c r="C5" s="10"/>
      <c r="D5" s="74"/>
      <c r="E5" s="113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2"/>
      <c r="G5" s="1132"/>
      <c r="H5" s="1132"/>
      <c r="I5" s="1132"/>
      <c r="J5" s="1132"/>
      <c r="K5" s="1132"/>
      <c r="L5" s="10"/>
      <c r="M5" s="142"/>
      <c r="N5" s="66"/>
      <c r="O5" s="66"/>
      <c r="P5" s="66"/>
      <c r="Q5" s="66"/>
      <c r="R5" s="66"/>
      <c r="S5" s="123"/>
      <c r="T5" s="123"/>
      <c r="U5" s="123"/>
      <c r="V5" s="123"/>
      <c r="IW5" s="44">
        <v>26</v>
      </c>
    </row>
    <row r="6" spans="1:257" s="44" customFormat="1" ht="14.65" customHeight="1">
      <c r="A6" s="10"/>
      <c r="B6" s="60"/>
      <c r="C6" s="10"/>
      <c r="D6" s="74"/>
      <c r="E6" s="10"/>
      <c r="F6" s="76"/>
      <c r="G6" s="76"/>
      <c r="H6" s="76"/>
      <c r="I6" s="76"/>
      <c r="J6" s="76"/>
      <c r="K6" s="76"/>
      <c r="L6" s="77"/>
      <c r="M6" s="66"/>
      <c r="N6" s="66"/>
      <c r="O6" s="66"/>
      <c r="P6" s="66"/>
      <c r="Q6" s="66"/>
      <c r="R6" s="66"/>
      <c r="S6" s="123"/>
      <c r="T6" s="123"/>
      <c r="U6" s="123"/>
      <c r="V6" s="123"/>
      <c r="IW6" s="44">
        <v>14</v>
      </c>
    </row>
    <row r="7" spans="1:257" s="44" customFormat="1" ht="14.65" customHeight="1">
      <c r="A7" s="10"/>
      <c r="B7" s="60"/>
      <c r="C7" s="10"/>
      <c r="D7" s="74"/>
      <c r="E7" s="1128" t="s">
        <v>300</v>
      </c>
      <c r="F7" s="1133"/>
      <c r="G7" s="1133"/>
      <c r="H7" s="1133"/>
      <c r="I7" s="1133"/>
      <c r="J7" s="1133"/>
      <c r="K7" s="1133"/>
      <c r="L7" s="1451" t="s">
        <v>301</v>
      </c>
      <c r="M7" s="66"/>
      <c r="N7" s="66"/>
      <c r="O7" s="66"/>
      <c r="P7" s="66"/>
      <c r="Q7" s="66"/>
      <c r="R7" s="66"/>
      <c r="S7" s="123"/>
      <c r="T7" s="123"/>
      <c r="U7" s="123"/>
      <c r="V7" s="123"/>
      <c r="IW7" s="44">
        <v>14</v>
      </c>
    </row>
    <row r="8" spans="1:257" s="44" customFormat="1" ht="67.150000000000006" customHeight="1">
      <c r="A8" s="10"/>
      <c r="B8" s="60"/>
      <c r="C8" s="10"/>
      <c r="D8" s="74"/>
      <c r="E8" s="1455" t="s">
        <v>86</v>
      </c>
      <c r="F8" s="1455" t="s">
        <v>1877</v>
      </c>
      <c r="G8" s="1457" t="s">
        <v>1878</v>
      </c>
      <c r="H8" s="1458"/>
      <c r="I8" s="1459"/>
      <c r="J8" s="1455" t="s">
        <v>1879</v>
      </c>
      <c r="K8" s="14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53"/>
      <c r="M8" s="66"/>
      <c r="N8" s="66"/>
      <c r="O8" s="66"/>
      <c r="P8" s="66"/>
      <c r="Q8" s="66"/>
      <c r="R8" s="66"/>
      <c r="S8" s="123"/>
      <c r="T8" s="123"/>
      <c r="U8" s="123"/>
      <c r="V8" s="123"/>
      <c r="IW8" s="44">
        <v>64</v>
      </c>
    </row>
    <row r="9" spans="1:257" s="44" customFormat="1" ht="29.25" customHeight="1">
      <c r="A9" s="10"/>
      <c r="B9" s="60"/>
      <c r="C9" s="10"/>
      <c r="D9" s="74"/>
      <c r="E9" s="1456"/>
      <c r="F9" s="1456"/>
      <c r="G9" s="843" t="s">
        <v>1873</v>
      </c>
      <c r="H9" s="843" t="s">
        <v>1874</v>
      </c>
      <c r="I9" s="843" t="s">
        <v>1875</v>
      </c>
      <c r="J9" s="1456"/>
      <c r="K9" s="1456"/>
      <c r="L9" s="1452"/>
      <c r="M9" s="66"/>
      <c r="N9" s="66"/>
      <c r="O9" s="66"/>
      <c r="P9" s="66"/>
      <c r="Q9" s="66"/>
      <c r="R9" s="66"/>
      <c r="S9" s="123"/>
      <c r="T9" s="123"/>
      <c r="U9" s="123"/>
      <c r="V9" s="123"/>
      <c r="IW9" s="44">
        <v>28</v>
      </c>
    </row>
    <row r="10" spans="1:257" ht="1.1499999999999999" customHeight="1">
      <c r="A10" s="1131"/>
      <c r="B10" s="60">
        <v>1</v>
      </c>
      <c r="C10" s="60"/>
      <c r="D10" s="458"/>
      <c r="E10" s="454">
        <v>0</v>
      </c>
      <c r="F10" s="1019" t="str">
        <f>IF(ROIV_INFO_NAME="","",ROIV_INFO_NAME)</f>
        <v>Общество с ограниченной ответственностью "Березовский рудник"</v>
      </c>
      <c r="G10" s="941" t="s">
        <v>28</v>
      </c>
      <c r="H10" s="1026"/>
      <c r="I10" s="1026"/>
      <c r="J10" s="292"/>
      <c r="K10" s="292"/>
      <c r="L10" s="1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1" t="e">
        <f ca="1">MERGEVALUE(F10)</f>
        <v>#NAME?</v>
      </c>
      <c r="N10" s="65"/>
      <c r="O10" s="65"/>
      <c r="P10" s="66" t="str">
        <f t="array" ref="P10">IF(ISERROR(MATCH(MID(Q10,1,250),MID(note_ter,1,250),0)),"n","y")</f>
        <v>n</v>
      </c>
      <c r="Q10" s="65"/>
      <c r="R10" s="6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0"/>
      <c r="T10" s="60"/>
      <c r="U10" s="233"/>
      <c r="V10" s="60"/>
      <c r="W10" s="60"/>
      <c r="X10" s="60"/>
      <c r="Y10" s="59"/>
      <c r="Z10" s="59"/>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59"/>
      <c r="BW10" s="59"/>
      <c r="BX10" s="59"/>
      <c r="BY10" s="59"/>
      <c r="BZ10" s="59"/>
      <c r="CA10" s="59"/>
      <c r="CB10" s="59"/>
      <c r="CC10" s="59"/>
      <c r="CD10" s="59"/>
      <c r="CE10" s="59"/>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1"/>
      <c r="C11" s="232"/>
      <c r="D11" s="459"/>
      <c r="E11" s="234"/>
      <c r="F11" s="51" t="s">
        <v>1876</v>
      </c>
      <c r="G11" s="94"/>
      <c r="H11" s="94"/>
      <c r="I11" s="94"/>
      <c r="J11" s="94"/>
      <c r="K11" s="235"/>
      <c r="L11" s="1454"/>
      <c r="M11" s="842"/>
      <c r="N11" s="65"/>
      <c r="O11" s="65"/>
      <c r="P11" s="65"/>
      <c r="R11" s="65"/>
      <c r="S11" s="60"/>
      <c r="T11" s="60"/>
      <c r="U11" s="233"/>
      <c r="V11" s="60"/>
      <c r="W11" s="60"/>
      <c r="X11" s="60"/>
      <c r="Y11" s="59"/>
      <c r="Z11" s="59"/>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59"/>
      <c r="BW11" s="59"/>
      <c r="BX11" s="59"/>
      <c r="BY11" s="59"/>
      <c r="BZ11" s="59"/>
      <c r="CA11" s="59"/>
      <c r="CB11" s="59"/>
      <c r="CC11" s="59"/>
      <c r="CD11" s="59"/>
      <c r="CE11" s="59"/>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0"/>
      <c r="C12" s="10"/>
      <c r="D12" s="74"/>
      <c r="E12" s="88"/>
      <c r="F12" s="88"/>
      <c r="G12" s="88"/>
      <c r="H12" s="88"/>
      <c r="I12" s="88"/>
      <c r="J12" s="88"/>
      <c r="K12" s="88"/>
      <c r="L12" s="88"/>
      <c r="M12" s="66"/>
      <c r="N12" s="66"/>
      <c r="O12" s="66"/>
      <c r="P12" s="66"/>
      <c r="Q12" s="66"/>
      <c r="R12" s="66"/>
      <c r="S12" s="123"/>
      <c r="T12" s="123"/>
      <c r="U12" s="123"/>
      <c r="V12" s="123"/>
      <c r="IW12" s="44">
        <v>21</v>
      </c>
    </row>
    <row r="13" spans="1:257" s="44" customFormat="1" ht="14.65" customHeight="1">
      <c r="A13" s="10"/>
      <c r="B13" s="60"/>
      <c r="C13" s="10"/>
      <c r="D13" s="74"/>
      <c r="E13" s="10"/>
      <c r="F13" s="10"/>
      <c r="G13" s="10"/>
      <c r="H13" s="10"/>
      <c r="I13" s="10"/>
      <c r="J13" s="10"/>
      <c r="K13" s="10"/>
      <c r="L13" s="10"/>
      <c r="M13" s="66"/>
      <c r="N13" s="66"/>
      <c r="O13" s="66"/>
      <c r="P13" s="66"/>
      <c r="Q13" s="66"/>
      <c r="R13" s="66"/>
      <c r="S13" s="123"/>
      <c r="T13" s="123"/>
      <c r="U13" s="123"/>
      <c r="V13" s="123"/>
      <c r="IW13" s="44">
        <v>14</v>
      </c>
    </row>
    <row r="14" spans="1:257" s="44" customFormat="1" ht="1.1499999999999999" customHeight="1">
      <c r="A14" s="10"/>
      <c r="B14" s="60"/>
      <c r="C14" s="10"/>
      <c r="D14" s="74"/>
      <c r="E14" s="10"/>
      <c r="F14" s="10"/>
      <c r="G14" s="10"/>
      <c r="H14" s="10"/>
      <c r="I14" s="10"/>
      <c r="J14" s="10"/>
      <c r="K14" s="10"/>
      <c r="L14" s="10"/>
      <c r="M14" s="66"/>
      <c r="N14" s="66"/>
      <c r="O14" s="66"/>
      <c r="P14" s="66"/>
      <c r="Q14" s="66"/>
      <c r="R14" s="66"/>
      <c r="S14" s="123"/>
      <c r="T14" s="123"/>
      <c r="U14" s="123"/>
      <c r="V14" s="123"/>
      <c r="IW14" s="44">
        <v>1</v>
      </c>
    </row>
    <row r="15" spans="1:257" ht="22.5" hidden="1" customHeight="1">
      <c r="A15" s="10" t="s">
        <v>80</v>
      </c>
      <c r="B15" s="60">
        <v>0</v>
      </c>
      <c r="C15" s="10">
        <v>0</v>
      </c>
      <c r="D15" s="74">
        <v>3</v>
      </c>
      <c r="E15" s="10">
        <v>6</v>
      </c>
      <c r="F15" s="10">
        <v>27</v>
      </c>
      <c r="G15" s="10">
        <v>16</v>
      </c>
      <c r="H15" s="10">
        <v>12</v>
      </c>
      <c r="I15" s="10">
        <v>32</v>
      </c>
      <c r="J15" s="10">
        <v>41</v>
      </c>
      <c r="K15" s="10">
        <v>41</v>
      </c>
      <c r="L15" s="10">
        <v>89</v>
      </c>
      <c r="M15" s="66">
        <v>3</v>
      </c>
      <c r="N15" s="66">
        <v>8</v>
      </c>
      <c r="O15" s="66">
        <v>8</v>
      </c>
      <c r="P15" s="66">
        <v>8</v>
      </c>
      <c r="Q15" s="66">
        <v>25</v>
      </c>
      <c r="R15" s="66">
        <v>14</v>
      </c>
      <c r="S15" s="123">
        <v>8</v>
      </c>
      <c r="T15" s="123">
        <v>8</v>
      </c>
      <c r="U15" s="123">
        <v>8</v>
      </c>
      <c r="V15" s="123">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0" hidden="1"/>
    <col min="2" max="2" width="9.140625" style="60" hidden="1"/>
    <col min="3" max="3" width="3.7109375" style="10" hidden="1" customWidth="1"/>
    <col min="4" max="4" width="3" style="74" customWidth="1"/>
    <col min="5" max="5" width="6" style="10" customWidth="1"/>
    <col min="6" max="6" width="27" style="10" customWidth="1"/>
    <col min="7" max="7" width="29" style="10" customWidth="1"/>
    <col min="8" max="8" width="25" style="10" customWidth="1"/>
    <col min="9" max="9" width="5" style="10" customWidth="1"/>
    <col min="10" max="10" width="6" style="10" customWidth="1"/>
    <col min="11" max="11" width="41" style="10" customWidth="1"/>
    <col min="12" max="12" width="42" style="10" customWidth="1"/>
    <col min="13" max="13" width="41" style="10" customWidth="1"/>
    <col min="14" max="14" width="89" style="10" customWidth="1"/>
    <col min="15" max="15" width="3" style="66" customWidth="1"/>
    <col min="16" max="16" width="8" style="66" customWidth="1"/>
    <col min="17" max="17" width="9.140625" style="10" hidden="1"/>
  </cols>
  <sheetData>
    <row r="1" spans="1:17" ht="22.5" hidden="1" customHeight="1">
      <c r="Q1" s="10" t="s">
        <v>14</v>
      </c>
    </row>
    <row r="2" spans="1:17" ht="22.5" hidden="1" customHeight="1">
      <c r="A2" s="200"/>
      <c r="B2" s="60">
        <v>1</v>
      </c>
      <c r="C2" s="60"/>
      <c r="D2" s="1038" t="s">
        <v>493</v>
      </c>
      <c r="E2" s="1146">
        <v>1</v>
      </c>
      <c r="F2" s="1322" t="str">
        <f>IF(region_name="","",region_name)</f>
        <v>Свердловская область</v>
      </c>
      <c r="G2" s="1468"/>
      <c r="H2" s="1469"/>
      <c r="I2" s="266"/>
      <c r="J2" s="386">
        <v>1</v>
      </c>
      <c r="K2" s="214"/>
      <c r="L2" s="214"/>
      <c r="M2" s="214"/>
      <c r="N2" s="279"/>
      <c r="O2" s="841"/>
      <c r="P2" s="65"/>
      <c r="Q2">
        <v>0</v>
      </c>
    </row>
    <row r="3" spans="1:17" ht="22.5" hidden="1" customHeight="1">
      <c r="A3" s="77"/>
      <c r="C3" s="60"/>
      <c r="D3" s="459"/>
      <c r="E3" s="1146"/>
      <c r="F3" s="1322"/>
      <c r="G3" s="1468"/>
      <c r="H3" s="1470"/>
      <c r="I3" s="234"/>
      <c r="J3" s="821"/>
      <c r="K3" s="821" t="s">
        <v>1880</v>
      </c>
      <c r="L3" s="849"/>
      <c r="M3" s="1035"/>
      <c r="N3" s="1028"/>
      <c r="O3" s="841"/>
      <c r="P3" s="65"/>
      <c r="Q3">
        <v>0</v>
      </c>
    </row>
    <row r="4" spans="1:17" s="65" customFormat="1" ht="5.25" hidden="1" customHeight="1">
      <c r="A4" s="200"/>
      <c r="D4" s="119"/>
      <c r="F4" s="142" t="s">
        <v>81</v>
      </c>
      <c r="G4" s="119" t="s">
        <v>82</v>
      </c>
      <c r="H4" s="119"/>
      <c r="I4" s="119"/>
      <c r="J4" s="850"/>
      <c r="K4" s="119"/>
      <c r="L4" s="119"/>
      <c r="M4" s="119"/>
      <c r="N4" s="119"/>
      <c r="O4" s="142" t="s">
        <v>81</v>
      </c>
      <c r="P4" s="142"/>
      <c r="Q4" s="65">
        <v>0</v>
      </c>
    </row>
    <row r="5" spans="1:17" ht="22.5" hidden="1" customHeight="1">
      <c r="A5" s="200"/>
      <c r="B5" s="60">
        <v>1</v>
      </c>
      <c r="C5" s="60"/>
      <c r="D5" s="459"/>
      <c r="E5" s="1028"/>
      <c r="F5" s="1028"/>
      <c r="G5" s="1028"/>
      <c r="H5" s="1037"/>
      <c r="I5" s="1039" t="s">
        <v>493</v>
      </c>
      <c r="J5" s="396">
        <v>1</v>
      </c>
      <c r="K5" s="214"/>
      <c r="L5" s="214"/>
      <c r="M5" s="214"/>
      <c r="N5" s="279"/>
      <c r="O5" s="841"/>
      <c r="P5" s="65"/>
      <c r="Q5">
        <v>0</v>
      </c>
    </row>
    <row r="6" spans="1:17" s="44" customFormat="1" ht="14.65" customHeight="1">
      <c r="A6" s="10"/>
      <c r="B6" s="60"/>
      <c r="C6" s="10"/>
      <c r="D6" s="74"/>
      <c r="E6" s="10"/>
      <c r="F6" s="10"/>
      <c r="G6" s="10"/>
      <c r="H6" s="10"/>
      <c r="I6" s="10"/>
      <c r="J6" s="10"/>
      <c r="K6" s="10"/>
      <c r="L6" s="10"/>
      <c r="M6" s="10"/>
      <c r="N6" s="10"/>
      <c r="O6" s="142"/>
      <c r="P6" s="66"/>
      <c r="Q6" s="44">
        <v>14</v>
      </c>
    </row>
    <row r="7" spans="1:17" s="44" customFormat="1" ht="27.4" customHeight="1">
      <c r="A7" s="10"/>
      <c r="B7" s="60"/>
      <c r="C7" s="10"/>
      <c r="D7" s="74"/>
      <c r="E7" s="14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62"/>
      <c r="G7" s="1462"/>
      <c r="H7" s="1462"/>
      <c r="I7" s="1462"/>
      <c r="J7" s="1462"/>
      <c r="K7" s="1462"/>
      <c r="L7" s="1462"/>
      <c r="M7" s="1462"/>
      <c r="N7" s="77"/>
      <c r="O7" s="142"/>
      <c r="P7" s="66"/>
      <c r="Q7" s="44">
        <v>26</v>
      </c>
    </row>
    <row r="8" spans="1:17" s="44" customFormat="1" ht="14.65" customHeight="1">
      <c r="A8" s="10"/>
      <c r="B8" s="60"/>
      <c r="C8" s="10"/>
      <c r="D8" s="74"/>
      <c r="E8" s="10"/>
      <c r="F8" s="76"/>
      <c r="G8" s="76"/>
      <c r="H8" s="76"/>
      <c r="I8" s="76"/>
      <c r="J8" s="76"/>
      <c r="K8" s="76"/>
      <c r="L8" s="76"/>
      <c r="M8" s="76"/>
      <c r="N8" s="76"/>
      <c r="O8" s="66"/>
      <c r="P8" s="66"/>
      <c r="Q8" s="44">
        <v>14</v>
      </c>
    </row>
    <row r="9" spans="1:17" s="851" customFormat="1" ht="14.25" hidden="1" customHeight="1">
      <c r="A9" s="56"/>
      <c r="B9" s="298"/>
      <c r="C9" s="56"/>
      <c r="D9" s="74"/>
      <c r="E9" s="1029"/>
      <c r="F9" s="1029"/>
      <c r="G9" s="1029"/>
      <c r="H9" s="1029"/>
      <c r="I9" s="1465"/>
      <c r="J9" s="1465"/>
      <c r="K9" s="1465"/>
      <c r="L9" s="1029"/>
      <c r="M9" s="1030"/>
      <c r="O9" s="343"/>
      <c r="P9" s="343"/>
      <c r="Q9" s="851">
        <v>0</v>
      </c>
    </row>
    <row r="10" spans="1:17" s="44" customFormat="1" ht="14.65" customHeight="1">
      <c r="A10" s="10"/>
      <c r="B10" s="60"/>
      <c r="C10" s="10"/>
      <c r="D10" s="74"/>
      <c r="E10" s="1146" t="s">
        <v>300</v>
      </c>
      <c r="F10" s="1146"/>
      <c r="G10" s="1146"/>
      <c r="H10" s="1146"/>
      <c r="I10" s="1146"/>
      <c r="J10" s="1146"/>
      <c r="K10" s="1146"/>
      <c r="L10" s="1146"/>
      <c r="M10" s="1128"/>
      <c r="N10" s="1455" t="s">
        <v>301</v>
      </c>
      <c r="O10" s="66"/>
      <c r="P10" s="66"/>
      <c r="Q10" s="44">
        <v>14</v>
      </c>
    </row>
    <row r="11" spans="1:17" s="44" customFormat="1" ht="44.25" customHeight="1">
      <c r="A11" s="10"/>
      <c r="B11" s="60"/>
      <c r="C11" s="10"/>
      <c r="D11" s="74"/>
      <c r="E11" s="1464" t="s">
        <v>86</v>
      </c>
      <c r="F11" s="1464" t="s">
        <v>304</v>
      </c>
      <c r="G11" s="1464" t="s">
        <v>1881</v>
      </c>
      <c r="H11" s="1464"/>
      <c r="I11" s="1464" t="s">
        <v>1882</v>
      </c>
      <c r="J11" s="1464"/>
      <c r="K11" s="1464"/>
      <c r="L11" s="1464" t="s">
        <v>1883</v>
      </c>
      <c r="M11" s="1457" t="s">
        <v>1884</v>
      </c>
      <c r="N11" s="1463"/>
      <c r="O11" s="66"/>
      <c r="P11" s="66"/>
      <c r="Q11" s="44">
        <v>42</v>
      </c>
    </row>
    <row r="12" spans="1:17" s="44" customFormat="1" ht="29.25" customHeight="1">
      <c r="A12" s="10"/>
      <c r="B12" s="60"/>
      <c r="C12" s="10"/>
      <c r="D12" s="74"/>
      <c r="E12" s="1455"/>
      <c r="F12" s="1464"/>
      <c r="G12" s="80" t="s">
        <v>1885</v>
      </c>
      <c r="H12" s="80" t="s">
        <v>308</v>
      </c>
      <c r="I12" s="1464"/>
      <c r="J12" s="1464"/>
      <c r="K12" s="1464"/>
      <c r="L12" s="1464"/>
      <c r="M12" s="1457"/>
      <c r="N12" s="1456"/>
      <c r="O12" s="66"/>
      <c r="P12" s="66"/>
      <c r="Q12" s="44">
        <v>28</v>
      </c>
    </row>
    <row r="13" spans="1:17" ht="23.25" customHeight="1">
      <c r="A13" s="1131">
        <v>26379339</v>
      </c>
      <c r="B13" s="60">
        <v>1</v>
      </c>
      <c r="C13" s="60"/>
      <c r="D13" s="459"/>
      <c r="E13" s="1146">
        <v>1</v>
      </c>
      <c r="F13" s="1471" t="str">
        <f>IF(region_name="","",region_name)</f>
        <v>Свердловская область</v>
      </c>
      <c r="G13" s="1472"/>
      <c r="H13" s="1466"/>
      <c r="I13" s="266"/>
      <c r="J13" s="444">
        <v>1</v>
      </c>
      <c r="K13" s="1033"/>
      <c r="L13" s="1034"/>
      <c r="M13" s="1034"/>
      <c r="N13" s="1460" t="s">
        <v>1886</v>
      </c>
      <c r="O13" s="841"/>
      <c r="P13" s="65"/>
      <c r="Q13">
        <v>22</v>
      </c>
    </row>
    <row r="14" spans="1:17" ht="23.25" customHeight="1">
      <c r="A14" s="1131"/>
      <c r="C14" s="60"/>
      <c r="D14" s="459"/>
      <c r="E14" s="1146"/>
      <c r="F14" s="1471"/>
      <c r="G14" s="1472"/>
      <c r="H14" s="1467"/>
      <c r="I14" s="234"/>
      <c r="J14" s="821"/>
      <c r="K14" s="821" t="s">
        <v>1880</v>
      </c>
      <c r="L14" s="849"/>
      <c r="M14" s="849"/>
      <c r="N14" s="1461"/>
      <c r="O14" s="841"/>
      <c r="P14" s="65"/>
      <c r="Q14">
        <v>22</v>
      </c>
    </row>
    <row r="15" spans="1:17" ht="23.25" customHeight="1">
      <c r="A15" s="1131"/>
      <c r="C15" s="232"/>
      <c r="D15" s="459"/>
      <c r="E15" s="234"/>
      <c r="F15" s="821" t="s">
        <v>1872</v>
      </c>
      <c r="G15" s="848"/>
      <c r="H15" s="848"/>
      <c r="I15" s="94"/>
      <c r="J15" s="94"/>
      <c r="K15" s="94"/>
      <c r="L15" s="94"/>
      <c r="M15" s="94"/>
      <c r="N15" s="1461"/>
      <c r="O15" s="842"/>
      <c r="P15" s="65"/>
      <c r="Q15">
        <v>22</v>
      </c>
    </row>
    <row r="16" spans="1:17" s="44" customFormat="1" ht="21.95" customHeight="1">
      <c r="A16" s="10"/>
      <c r="B16" s="60"/>
      <c r="C16" s="10"/>
      <c r="D16" s="74"/>
      <c r="E16" s="88"/>
      <c r="F16" s="88"/>
      <c r="G16" s="88"/>
      <c r="H16" s="88"/>
      <c r="I16" s="88"/>
      <c r="J16" s="88"/>
      <c r="K16" s="88"/>
      <c r="L16" s="88"/>
      <c r="M16" s="10"/>
      <c r="N16" s="10"/>
      <c r="O16" s="66"/>
      <c r="P16" s="66"/>
      <c r="Q16" s="44">
        <v>21</v>
      </c>
    </row>
    <row r="17" spans="1:17" s="44" customFormat="1" ht="14.65" customHeight="1">
      <c r="A17" s="10"/>
      <c r="B17" s="60"/>
      <c r="C17" s="10"/>
      <c r="D17" s="74"/>
      <c r="E17" s="10"/>
      <c r="F17" s="10"/>
      <c r="G17" s="10"/>
      <c r="H17" s="10"/>
      <c r="I17" s="10"/>
      <c r="J17" s="10"/>
      <c r="K17" s="10"/>
      <c r="L17" s="10"/>
      <c r="M17" s="10"/>
      <c r="N17" s="10"/>
      <c r="O17" s="66"/>
      <c r="P17" s="66"/>
      <c r="Q17" s="44">
        <v>14</v>
      </c>
    </row>
    <row r="18" spans="1:17" s="44" customFormat="1" ht="1.1499999999999999" customHeight="1">
      <c r="A18" s="10"/>
      <c r="B18" s="60"/>
      <c r="C18" s="10"/>
      <c r="D18" s="74"/>
      <c r="E18" s="10"/>
      <c r="F18" s="10"/>
      <c r="G18" s="10"/>
      <c r="H18" s="10"/>
      <c r="I18" s="10"/>
      <c r="J18" s="10"/>
      <c r="K18" s="10"/>
      <c r="L18" s="10"/>
      <c r="M18" s="10"/>
      <c r="N18" s="10"/>
      <c r="O18" s="66"/>
      <c r="P18" s="66"/>
      <c r="Q18" s="44">
        <v>1</v>
      </c>
    </row>
    <row r="19" spans="1:17" ht="22.5" hidden="1" customHeight="1">
      <c r="A19" s="10" t="s">
        <v>80</v>
      </c>
      <c r="B19" s="60">
        <v>0</v>
      </c>
      <c r="C19" s="10">
        <v>0</v>
      </c>
      <c r="D19" s="74">
        <v>3</v>
      </c>
      <c r="E19" s="10">
        <v>6</v>
      </c>
      <c r="F19" s="10">
        <v>27</v>
      </c>
      <c r="G19" s="10">
        <v>29</v>
      </c>
      <c r="H19" s="10">
        <v>25</v>
      </c>
      <c r="I19" s="10">
        <v>5</v>
      </c>
      <c r="J19" s="10">
        <v>6</v>
      </c>
      <c r="K19" s="10">
        <v>41</v>
      </c>
      <c r="L19" s="10">
        <v>42</v>
      </c>
      <c r="M19" s="10">
        <v>41</v>
      </c>
      <c r="N19" s="10">
        <v>89</v>
      </c>
      <c r="O19" s="66">
        <v>3</v>
      </c>
      <c r="P19" s="66">
        <v>8</v>
      </c>
      <c r="Q19" s="1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45" hidden="1"/>
    <col min="2" max="2" width="9.140625" style="33" hidden="1"/>
    <col min="3" max="3" width="3" style="46" customWidth="1"/>
    <col min="4" max="4" width="6" style="33" customWidth="1"/>
    <col min="5" max="5" width="22" style="33" customWidth="1"/>
    <col min="6" max="6" width="15" style="33" customWidth="1"/>
    <col min="7" max="7" width="14" style="33" customWidth="1"/>
    <col min="8" max="8" width="47" style="33" customWidth="1"/>
    <col min="9" max="9" width="115" style="33" customWidth="1"/>
    <col min="10" max="10" width="3" style="33" customWidth="1"/>
    <col min="11" max="12" width="8" style="33" customWidth="1"/>
    <col min="13" max="13" width="9.140625" style="33" hidden="1"/>
  </cols>
  <sheetData>
    <row r="1" spans="1:13" ht="14.25" hidden="1" customHeight="1">
      <c r="M1" s="33" t="s">
        <v>14</v>
      </c>
    </row>
    <row r="2" spans="1:13" ht="14.25" hidden="1" customHeight="1">
      <c r="M2" s="33">
        <v>0</v>
      </c>
    </row>
    <row r="3" spans="1:13" ht="14.25" hidden="1" customHeight="1">
      <c r="M3" s="33">
        <v>0</v>
      </c>
    </row>
    <row r="4" spans="1:13" ht="3" customHeight="1">
      <c r="M4" s="33">
        <v>3</v>
      </c>
    </row>
    <row r="5" spans="1:13" s="10" customFormat="1" ht="31.5" customHeight="1">
      <c r="A5" s="7"/>
      <c r="C5" s="22"/>
      <c r="D5" s="1132" t="s">
        <v>1887</v>
      </c>
      <c r="E5" s="1132"/>
      <c r="F5" s="1132"/>
      <c r="G5" s="1132"/>
      <c r="H5" s="1132"/>
      <c r="I5" s="153"/>
      <c r="M5" s="10">
        <v>30</v>
      </c>
    </row>
    <row r="6" spans="1:13" ht="3" hidden="1" customHeight="1">
      <c r="D6" s="6"/>
      <c r="E6" s="6"/>
      <c r="F6" s="6"/>
      <c r="G6" s="6"/>
      <c r="H6" s="6"/>
      <c r="I6" s="6"/>
      <c r="M6" s="33">
        <v>0</v>
      </c>
    </row>
    <row r="7" spans="1:13" s="45" customFormat="1" ht="14.65" customHeight="1">
      <c r="B7" s="33"/>
      <c r="C7" s="46"/>
      <c r="D7" s="47"/>
      <c r="E7" s="47"/>
      <c r="F7" s="47"/>
      <c r="G7" s="47"/>
      <c r="H7" s="432"/>
      <c r="I7" s="47"/>
      <c r="J7" s="48"/>
      <c r="M7" s="45">
        <v>14</v>
      </c>
    </row>
    <row r="8" spans="1:13" ht="14.65" customHeight="1">
      <c r="D8" s="1244" t="s">
        <v>300</v>
      </c>
      <c r="E8" s="1244"/>
      <c r="F8" s="1244"/>
      <c r="G8" s="1244"/>
      <c r="H8" s="1244"/>
      <c r="I8" s="1244" t="s">
        <v>301</v>
      </c>
      <c r="M8" s="33">
        <v>14</v>
      </c>
    </row>
    <row r="9" spans="1:13" ht="29.25" customHeight="1">
      <c r="D9" s="1244" t="s">
        <v>86</v>
      </c>
      <c r="E9" s="1244" t="s">
        <v>1888</v>
      </c>
      <c r="F9" s="1244"/>
      <c r="G9" s="1244"/>
      <c r="H9" s="1244"/>
      <c r="I9" s="1244"/>
      <c r="M9" s="33">
        <v>28</v>
      </c>
    </row>
    <row r="10" spans="1:13" ht="24" customHeight="1">
      <c r="D10" s="1244"/>
      <c r="E10" s="35" t="s">
        <v>1889</v>
      </c>
      <c r="F10" s="35" t="s">
        <v>1890</v>
      </c>
      <c r="G10" s="35" t="s">
        <v>1891</v>
      </c>
      <c r="H10" s="35" t="s">
        <v>390</v>
      </c>
      <c r="I10" s="1244"/>
      <c r="M10" s="33">
        <v>23</v>
      </c>
    </row>
    <row r="11" spans="1:13" ht="12" hidden="1" customHeight="1">
      <c r="D11" s="21" t="s">
        <v>107</v>
      </c>
      <c r="E11" s="21" t="s">
        <v>89</v>
      </c>
      <c r="F11" s="21" t="s">
        <v>109</v>
      </c>
      <c r="G11" s="21" t="s">
        <v>90</v>
      </c>
      <c r="H11" s="21" t="s">
        <v>91</v>
      </c>
      <c r="I11" s="21" t="s">
        <v>110</v>
      </c>
      <c r="M11" s="33">
        <v>0</v>
      </c>
    </row>
    <row r="12" spans="1:13" s="33" customFormat="1" ht="26.25" customHeight="1">
      <c r="A12" s="59" t="s">
        <v>88</v>
      </c>
      <c r="B12" s="33" t="s">
        <v>28</v>
      </c>
      <c r="C12" s="49"/>
      <c r="D12" s="42" t="s">
        <v>107</v>
      </c>
      <c r="E12" s="214"/>
      <c r="F12" s="214"/>
      <c r="G12" s="942" t="s">
        <v>28</v>
      </c>
      <c r="H12" s="114"/>
      <c r="I12" s="1190" t="s">
        <v>1892</v>
      </c>
      <c r="K12" s="157"/>
      <c r="L12" s="101"/>
      <c r="M12" s="33">
        <v>25</v>
      </c>
    </row>
    <row r="13" spans="1:13" ht="15.75" customHeight="1">
      <c r="A13" s="33"/>
      <c r="C13" s="33"/>
      <c r="D13" s="39"/>
      <c r="E13" s="51" t="s">
        <v>465</v>
      </c>
      <c r="F13" s="50"/>
      <c r="G13" s="50"/>
      <c r="H13" s="105"/>
      <c r="I13" s="1192"/>
      <c r="M13" s="33">
        <v>15</v>
      </c>
    </row>
    <row r="14" spans="1:13" ht="3" customHeight="1">
      <c r="A14" s="33"/>
      <c r="C14" s="33"/>
      <c r="M14" s="33">
        <v>3</v>
      </c>
    </row>
    <row r="15" spans="1:13" ht="29.25" customHeight="1">
      <c r="E15" s="1473" t="s">
        <v>1893</v>
      </c>
      <c r="F15" s="1473"/>
      <c r="G15" s="1473"/>
      <c r="H15" s="1473"/>
      <c r="M15" s="33">
        <v>28</v>
      </c>
    </row>
    <row r="16" spans="1:13" ht="14.25" hidden="1" customHeight="1">
      <c r="A16" s="45" t="s">
        <v>80</v>
      </c>
      <c r="B16" s="33">
        <v>0</v>
      </c>
      <c r="C16" s="46">
        <v>3</v>
      </c>
      <c r="D16" s="33">
        <v>6</v>
      </c>
      <c r="E16" s="33">
        <v>22</v>
      </c>
      <c r="F16" s="33">
        <v>15</v>
      </c>
      <c r="G16" s="33">
        <v>14</v>
      </c>
      <c r="H16" s="33">
        <v>47</v>
      </c>
      <c r="I16" s="33">
        <v>115</v>
      </c>
      <c r="J16" s="33">
        <v>3</v>
      </c>
      <c r="K16" s="33">
        <v>8</v>
      </c>
      <c r="L16" s="33">
        <v>8</v>
      </c>
      <c r="M16" s="33">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5" hidden="1"/>
    <col min="3" max="3" width="3" style="23" customWidth="1"/>
    <col min="4" max="4" width="6" style="5" customWidth="1"/>
    <col min="5" max="5" width="94" style="5" customWidth="1"/>
    <col min="6" max="9" width="8" style="5" customWidth="1"/>
    <col min="10" max="10" width="9.140625" style="5" hidden="1"/>
  </cols>
  <sheetData>
    <row r="1" spans="1:10" ht="14.25" hidden="1" customHeight="1">
      <c r="J1" s="5" t="s">
        <v>14</v>
      </c>
    </row>
    <row r="2" spans="1:10" ht="14.25" hidden="1" customHeight="1">
      <c r="J2" s="5">
        <v>0</v>
      </c>
    </row>
    <row r="3" spans="1:10" ht="14.25" hidden="1" customHeight="1">
      <c r="J3" s="5">
        <v>0</v>
      </c>
    </row>
    <row r="4" spans="1:10" ht="14.25" hidden="1" customHeight="1">
      <c r="J4" s="5">
        <v>0</v>
      </c>
    </row>
    <row r="5" spans="1:10" ht="14.25" hidden="1" customHeight="1">
      <c r="J5" s="5">
        <v>0</v>
      </c>
    </row>
    <row r="6" spans="1:10" ht="3" customHeight="1">
      <c r="C6" s="24"/>
      <c r="D6" s="6"/>
      <c r="E6" s="6"/>
      <c r="J6" s="5">
        <v>3</v>
      </c>
    </row>
    <row r="7" spans="1:10" ht="23.25" customHeight="1">
      <c r="C7" s="24"/>
      <c r="D7" s="1474" t="s">
        <v>1894</v>
      </c>
      <c r="E7" s="1475"/>
      <c r="F7" s="154"/>
      <c r="J7" s="5">
        <v>22</v>
      </c>
    </row>
    <row r="8" spans="1:10" ht="3" customHeight="1">
      <c r="C8" s="24"/>
      <c r="D8" s="6"/>
      <c r="E8" s="6"/>
      <c r="J8" s="5">
        <v>3</v>
      </c>
    </row>
    <row r="9" spans="1:10" ht="16.899999999999999" customHeight="1">
      <c r="C9" s="24"/>
      <c r="D9" s="35" t="s">
        <v>86</v>
      </c>
      <c r="E9" s="40" t="s">
        <v>1895</v>
      </c>
      <c r="J9" s="5">
        <v>16</v>
      </c>
    </row>
    <row r="10" spans="1:10" ht="1.1499999999999999" customHeight="1">
      <c r="C10" s="24"/>
      <c r="D10" s="21"/>
      <c r="E10" s="21"/>
      <c r="J10" s="5">
        <v>1</v>
      </c>
    </row>
    <row r="11" spans="1:10" ht="11.25" hidden="1" customHeight="1">
      <c r="C11" s="24"/>
      <c r="D11" s="63">
        <v>0</v>
      </c>
      <c r="E11" s="151"/>
      <c r="J11" s="5">
        <v>0</v>
      </c>
    </row>
    <row r="12" spans="1:10" ht="15.75" customHeight="1">
      <c r="C12" s="22"/>
      <c r="D12" s="43">
        <v>1</v>
      </c>
      <c r="E12" s="214"/>
      <c r="J12" s="5">
        <v>15</v>
      </c>
    </row>
    <row r="13" spans="1:10" ht="12.75" customHeight="1">
      <c r="C13" s="24"/>
      <c r="D13" s="152"/>
      <c r="E13" s="37" t="s">
        <v>1896</v>
      </c>
      <c r="J13" s="5">
        <v>12</v>
      </c>
    </row>
    <row r="14" spans="1:10" ht="3" customHeight="1">
      <c r="J14" s="5">
        <v>3</v>
      </c>
    </row>
    <row r="15" spans="1:10" ht="23.25" customHeight="1">
      <c r="C15" s="54"/>
      <c r="D15" s="1473" t="s">
        <v>1897</v>
      </c>
      <c r="E15" s="1473"/>
      <c r="F15" s="55"/>
      <c r="G15" s="55"/>
      <c r="H15" s="55"/>
      <c r="I15" s="55"/>
      <c r="J15" s="5">
        <v>22</v>
      </c>
    </row>
    <row r="16" spans="1:10" ht="14.25" hidden="1" customHeight="1">
      <c r="A16" s="5" t="s">
        <v>80</v>
      </c>
      <c r="B16" s="5">
        <v>0</v>
      </c>
      <c r="C16" s="23">
        <v>3</v>
      </c>
      <c r="D16" s="5">
        <v>6</v>
      </c>
      <c r="E16" s="5">
        <v>94</v>
      </c>
      <c r="F16" s="5">
        <v>8</v>
      </c>
      <c r="G16" s="5">
        <v>8</v>
      </c>
      <c r="H16" s="5">
        <v>8</v>
      </c>
      <c r="I16" s="5">
        <v>8</v>
      </c>
      <c r="J16" s="5">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12" width="8" style="5" customWidth="1"/>
    <col min="13" max="13" width="9.140625" style="5" hidden="1"/>
  </cols>
  <sheetData>
    <row r="1" spans="1:13" ht="14.25" hidden="1" customHeight="1">
      <c r="M1" s="5" t="s">
        <v>14</v>
      </c>
    </row>
    <row r="2" spans="1:13" ht="14.25" hidden="1" customHeight="1">
      <c r="M2" s="5">
        <v>0</v>
      </c>
    </row>
    <row r="3" spans="1:13" ht="14.25" hidden="1" customHeight="1">
      <c r="M3" s="5">
        <v>0</v>
      </c>
    </row>
    <row r="4" spans="1:13" ht="14.25" hidden="1" customHeight="1">
      <c r="M4" s="5">
        <v>0</v>
      </c>
    </row>
    <row r="5" spans="1:13" ht="14.25" hidden="1" customHeight="1">
      <c r="M5" s="5">
        <v>0</v>
      </c>
    </row>
    <row r="6" spans="1:13" ht="3" customHeight="1">
      <c r="C6" s="24"/>
      <c r="D6" s="6"/>
      <c r="E6" s="6"/>
      <c r="M6" s="5">
        <v>3</v>
      </c>
    </row>
    <row r="7" spans="1:13" ht="23.25" customHeight="1">
      <c r="C7" s="24"/>
      <c r="D7" s="1132" t="s">
        <v>1898</v>
      </c>
      <c r="E7" s="1132"/>
      <c r="F7" s="154"/>
      <c r="M7" s="5">
        <v>22</v>
      </c>
    </row>
    <row r="8" spans="1:13" ht="3" customHeight="1">
      <c r="C8" s="24"/>
      <c r="D8" s="6"/>
      <c r="E8" s="6"/>
      <c r="M8" s="5">
        <v>3</v>
      </c>
    </row>
    <row r="9" spans="1:13" ht="16.899999999999999" customHeight="1">
      <c r="C9" s="24"/>
      <c r="D9" s="35" t="s">
        <v>86</v>
      </c>
      <c r="E9" s="38" t="s">
        <v>287</v>
      </c>
      <c r="M9" s="5">
        <v>16</v>
      </c>
    </row>
    <row r="10" spans="1:13" ht="12.75" customHeight="1">
      <c r="C10" s="24"/>
      <c r="D10" s="21" t="s">
        <v>107</v>
      </c>
      <c r="E10" s="21" t="s">
        <v>108</v>
      </c>
      <c r="M10" s="5">
        <v>12</v>
      </c>
    </row>
    <row r="11" spans="1:13" ht="15" hidden="1" customHeight="1">
      <c r="C11" s="24"/>
      <c r="D11" s="43">
        <v>0</v>
      </c>
      <c r="E11" s="62"/>
      <c r="M11" s="5">
        <v>0</v>
      </c>
    </row>
    <row r="12" spans="1:13" ht="14.65" customHeight="1">
      <c r="C12" s="24"/>
      <c r="D12" s="39"/>
      <c r="E12" s="37" t="s">
        <v>1896</v>
      </c>
      <c r="M12" s="5">
        <v>14</v>
      </c>
    </row>
    <row r="13" spans="1:13" ht="14.25" hidden="1" customHeight="1">
      <c r="A13" s="5" t="s">
        <v>80</v>
      </c>
      <c r="B13" s="5">
        <v>0</v>
      </c>
      <c r="C13" s="23">
        <v>3</v>
      </c>
      <c r="D13" s="5">
        <v>6</v>
      </c>
      <c r="E13" s="5">
        <v>94</v>
      </c>
      <c r="F13" s="5">
        <v>8</v>
      </c>
      <c r="G13" s="5">
        <v>8</v>
      </c>
      <c r="H13" s="5">
        <v>8</v>
      </c>
      <c r="I13" s="5">
        <v>8</v>
      </c>
      <c r="J13" s="5">
        <v>8</v>
      </c>
      <c r="K13" s="5">
        <v>8</v>
      </c>
      <c r="L13" s="5">
        <v>8</v>
      </c>
      <c r="M13" s="5">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5" customWidth="1"/>
    <col min="38" max="64" width="8" customWidth="1"/>
    <col min="65" max="65" width="9.140625" hidden="1"/>
  </cols>
  <sheetData>
    <row r="1" spans="1:65" s="101" customFormat="1" ht="11.25" hidden="1" customHeight="1">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101" t="s">
        <v>14</v>
      </c>
    </row>
    <row r="2" spans="1:65" s="857" customFormat="1" ht="11.25" hidden="1" customHeight="1">
      <c r="L2" s="857" t="s">
        <v>279</v>
      </c>
      <c r="M2" s="857" t="s">
        <v>280</v>
      </c>
      <c r="R2" s="857" t="s">
        <v>281</v>
      </c>
      <c r="S2" s="857" t="s">
        <v>280</v>
      </c>
      <c r="X2" s="857" t="s">
        <v>279</v>
      </c>
      <c r="Y2" s="857" t="s">
        <v>280</v>
      </c>
      <c r="AD2" s="857" t="s">
        <v>279</v>
      </c>
      <c r="AE2" s="857" t="s">
        <v>280</v>
      </c>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57">
        <v>0</v>
      </c>
    </row>
    <row r="3" spans="1:65" s="858" customFormat="1" ht="11.45" customHeight="1">
      <c r="AJ3"/>
      <c r="AK3" s="45"/>
      <c r="AL3"/>
      <c r="AM3"/>
      <c r="AN3"/>
      <c r="AO3"/>
      <c r="AP3"/>
      <c r="AQ3"/>
      <c r="AR3"/>
      <c r="AS3"/>
      <c r="AT3"/>
      <c r="AU3"/>
      <c r="AV3"/>
      <c r="AW3"/>
      <c r="AX3"/>
      <c r="AY3"/>
      <c r="AZ3"/>
      <c r="BA3"/>
      <c r="BB3"/>
      <c r="BC3"/>
      <c r="BD3"/>
      <c r="BE3"/>
      <c r="BF3"/>
      <c r="BG3"/>
      <c r="BH3"/>
      <c r="BI3"/>
      <c r="BJ3"/>
      <c r="BK3"/>
      <c r="BL3"/>
      <c r="BM3" s="858">
        <v>11</v>
      </c>
    </row>
    <row r="4" spans="1:65" s="44" customFormat="1" ht="34.5" customHeight="1">
      <c r="A4" s="7"/>
      <c r="B4" s="10"/>
      <c r="C4" s="74"/>
      <c r="D4" s="1215" t="s">
        <v>282</v>
      </c>
      <c r="E4" s="1215"/>
      <c r="F4" s="1215"/>
      <c r="G4" s="1215"/>
      <c r="H4" s="1215"/>
      <c r="I4" s="1215"/>
      <c r="J4" s="1215"/>
      <c r="K4" s="400"/>
      <c r="T4" s="859"/>
      <c r="AJ4" s="874"/>
      <c r="AK4" s="875"/>
      <c r="AL4" s="874"/>
      <c r="AM4" s="874"/>
      <c r="AN4" s="874"/>
      <c r="AO4" s="874"/>
      <c r="AP4" s="874"/>
      <c r="AQ4" s="874"/>
      <c r="AR4" s="874"/>
      <c r="AS4" s="874"/>
      <c r="AT4" s="874"/>
      <c r="AU4" s="874"/>
      <c r="AV4" s="874"/>
      <c r="AW4" s="874"/>
      <c r="AX4" s="874"/>
      <c r="AY4" s="874"/>
      <c r="AZ4" s="874"/>
      <c r="BA4" s="874"/>
      <c r="BB4" s="874"/>
      <c r="BC4" s="874"/>
      <c r="BD4" s="874"/>
      <c r="BE4" s="874"/>
      <c r="BF4" s="874"/>
      <c r="BG4" s="874"/>
      <c r="BH4" s="874"/>
      <c r="BI4" s="874"/>
      <c r="BJ4" s="874"/>
      <c r="BK4" s="874"/>
      <c r="BL4" s="874"/>
      <c r="BM4" s="44">
        <v>33</v>
      </c>
    </row>
    <row r="5" spans="1:65" s="44" customFormat="1" ht="14.65" customHeight="1">
      <c r="A5" s="7"/>
      <c r="B5" s="10"/>
      <c r="C5" s="74"/>
      <c r="D5" s="1236" t="str">
        <f>IF(org=0,"Не определено",org)</f>
        <v>Общество с ограниченной ответственностью "Березовский рудник"</v>
      </c>
      <c r="E5" s="1236"/>
      <c r="F5" s="1236"/>
      <c r="G5" s="1236"/>
      <c r="H5" s="1236"/>
      <c r="I5" s="1236"/>
      <c r="J5" s="1236"/>
      <c r="K5" s="400"/>
      <c r="T5" s="859"/>
      <c r="AJ5" s="874"/>
      <c r="AK5" s="875"/>
      <c r="AL5" s="874"/>
      <c r="AM5" s="874"/>
      <c r="AN5" s="874"/>
      <c r="AO5" s="874"/>
      <c r="AP5" s="874"/>
      <c r="AQ5" s="874"/>
      <c r="AR5" s="874"/>
      <c r="AS5" s="874"/>
      <c r="AT5" s="874"/>
      <c r="AU5" s="874"/>
      <c r="AV5" s="874"/>
      <c r="AW5" s="874"/>
      <c r="AX5" s="874"/>
      <c r="AY5" s="874"/>
      <c r="AZ5" s="874"/>
      <c r="BA5" s="874"/>
      <c r="BB5" s="874"/>
      <c r="BC5" s="874"/>
      <c r="BD5" s="874"/>
      <c r="BE5" s="874"/>
      <c r="BF5" s="874"/>
      <c r="BG5" s="874"/>
      <c r="BH5" s="874"/>
      <c r="BI5" s="874"/>
      <c r="BJ5" s="874"/>
      <c r="BK5" s="874"/>
      <c r="BL5" s="874"/>
      <c r="BM5" s="44">
        <v>14</v>
      </c>
    </row>
    <row r="6" spans="1:65" s="44" customFormat="1" ht="14.65" customHeight="1">
      <c r="A6" s="7"/>
      <c r="B6" s="10"/>
      <c r="C6" s="74"/>
      <c r="D6" s="400"/>
      <c r="E6" s="400"/>
      <c r="F6" s="400"/>
      <c r="G6" s="400"/>
      <c r="H6" s="400"/>
      <c r="I6" s="400"/>
      <c r="J6" s="400"/>
      <c r="K6" s="400"/>
      <c r="T6" s="859"/>
      <c r="AJ6" s="874"/>
      <c r="AK6" s="875"/>
      <c r="AL6" s="874"/>
      <c r="AM6" s="874"/>
      <c r="AN6" s="874"/>
      <c r="AO6" s="874"/>
      <c r="AP6" s="874"/>
      <c r="AQ6" s="874"/>
      <c r="AR6" s="874"/>
      <c r="AS6" s="874"/>
      <c r="AT6" s="874"/>
      <c r="AU6" s="874"/>
      <c r="AV6" s="874"/>
      <c r="AW6" s="874"/>
      <c r="AX6" s="874"/>
      <c r="AY6" s="874"/>
      <c r="AZ6" s="874"/>
      <c r="BA6" s="874"/>
      <c r="BB6" s="874"/>
      <c r="BC6" s="874"/>
      <c r="BD6" s="874"/>
      <c r="BE6" s="874"/>
      <c r="BF6" s="874"/>
      <c r="BG6" s="874"/>
      <c r="BH6" s="874"/>
      <c r="BI6" s="874"/>
      <c r="BJ6" s="874"/>
      <c r="BK6" s="874"/>
      <c r="BL6" s="874"/>
      <c r="BM6" s="44">
        <v>14</v>
      </c>
    </row>
    <row r="7" spans="1:65" s="101" customFormat="1" ht="1.1499999999999999" customHeight="1">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101">
        <v>1</v>
      </c>
    </row>
    <row r="8" spans="1:65" ht="33.75" customHeight="1">
      <c r="D8" s="1146" t="s">
        <v>86</v>
      </c>
      <c r="E8" s="1146" t="s">
        <v>103</v>
      </c>
      <c r="F8" s="1217" t="s">
        <v>120</v>
      </c>
      <c r="G8" s="1218"/>
      <c r="H8" s="1217" t="s">
        <v>86</v>
      </c>
      <c r="I8" s="1218"/>
      <c r="J8" s="1146" t="s">
        <v>121</v>
      </c>
      <c r="K8" s="860"/>
      <c r="L8" s="1216" t="s">
        <v>283</v>
      </c>
      <c r="M8" s="1216"/>
      <c r="N8" s="1216"/>
      <c r="O8" s="1216"/>
      <c r="P8" s="1216"/>
      <c r="Q8" s="861"/>
      <c r="R8" s="1128" t="s">
        <v>284</v>
      </c>
      <c r="S8" s="1133"/>
      <c r="T8" s="1133"/>
      <c r="U8" s="1133"/>
      <c r="V8" s="1133"/>
      <c r="W8" s="861"/>
      <c r="X8" s="1146" t="s">
        <v>285</v>
      </c>
      <c r="Y8" s="1146"/>
      <c r="Z8" s="1146"/>
      <c r="AA8" s="1146"/>
      <c r="AB8" s="1146"/>
      <c r="AC8" s="337"/>
      <c r="AD8" s="1146" t="s">
        <v>286</v>
      </c>
      <c r="AE8" s="1146"/>
      <c r="AF8" s="1146"/>
      <c r="AG8" s="1146"/>
      <c r="AH8" s="1128"/>
      <c r="AI8" s="1146" t="s">
        <v>287</v>
      </c>
      <c r="BM8">
        <v>32</v>
      </c>
    </row>
    <row r="9" spans="1:65" ht="23.25" customHeight="1">
      <c r="D9" s="1146"/>
      <c r="E9" s="1146"/>
      <c r="F9" s="1216" t="s">
        <v>87</v>
      </c>
      <c r="G9" s="1216" t="s">
        <v>126</v>
      </c>
      <c r="H9" s="1219"/>
      <c r="I9" s="1220"/>
      <c r="J9" s="1128"/>
      <c r="K9" s="862"/>
      <c r="L9" s="1146" t="s">
        <v>288</v>
      </c>
      <c r="M9" s="1128"/>
      <c r="N9" s="1217" t="s">
        <v>86</v>
      </c>
      <c r="O9" s="1218"/>
      <c r="P9" s="1146" t="s">
        <v>127</v>
      </c>
      <c r="Q9" s="860"/>
      <c r="R9" s="1146" t="s">
        <v>288</v>
      </c>
      <c r="S9" s="1128"/>
      <c r="T9" s="1217" t="s">
        <v>86</v>
      </c>
      <c r="U9" s="1218"/>
      <c r="V9" s="1146" t="s">
        <v>127</v>
      </c>
      <c r="W9" s="860"/>
      <c r="X9" s="1146" t="s">
        <v>288</v>
      </c>
      <c r="Y9" s="1128"/>
      <c r="Z9" s="1217" t="s">
        <v>86</v>
      </c>
      <c r="AA9" s="1218"/>
      <c r="AB9" s="1146" t="s">
        <v>289</v>
      </c>
      <c r="AC9" s="860"/>
      <c r="AD9" s="1146" t="s">
        <v>288</v>
      </c>
      <c r="AE9" s="1128"/>
      <c r="AF9" s="1217" t="s">
        <v>86</v>
      </c>
      <c r="AG9" s="1218"/>
      <c r="AH9" s="1128" t="s">
        <v>289</v>
      </c>
      <c r="AI9" s="1146"/>
      <c r="BM9">
        <v>22</v>
      </c>
    </row>
    <row r="10" spans="1:65" ht="24" customHeight="1">
      <c r="D10" s="1216"/>
      <c r="E10" s="1216"/>
      <c r="F10" s="1221"/>
      <c r="G10" s="1221"/>
      <c r="H10" s="1222"/>
      <c r="I10" s="1223"/>
      <c r="J10" s="1217"/>
      <c r="K10" s="862"/>
      <c r="L10" s="337" t="s">
        <v>290</v>
      </c>
      <c r="M10" s="861" t="s">
        <v>291</v>
      </c>
      <c r="N10" s="1219"/>
      <c r="O10" s="1220"/>
      <c r="P10" s="1216"/>
      <c r="Q10" s="860"/>
      <c r="R10" s="337" t="s">
        <v>290</v>
      </c>
      <c r="S10" s="861" t="s">
        <v>291</v>
      </c>
      <c r="T10" s="1219"/>
      <c r="U10" s="1220"/>
      <c r="V10" s="1216"/>
      <c r="W10" s="860"/>
      <c r="X10" s="337" t="s">
        <v>290</v>
      </c>
      <c r="Y10" s="861" t="s">
        <v>291</v>
      </c>
      <c r="Z10" s="1219"/>
      <c r="AA10" s="1220"/>
      <c r="AB10" s="1216"/>
      <c r="AC10" s="860"/>
      <c r="AD10" s="337" t="s">
        <v>290</v>
      </c>
      <c r="AE10" s="861" t="s">
        <v>291</v>
      </c>
      <c r="AF10" s="1219"/>
      <c r="AG10" s="1220"/>
      <c r="AH10" s="1217"/>
      <c r="AI10" s="1216"/>
      <c r="AK10" s="33" t="s">
        <v>292</v>
      </c>
      <c r="AL10" s="33" t="s">
        <v>128</v>
      </c>
      <c r="BM10">
        <v>23</v>
      </c>
    </row>
    <row r="11" spans="1:65" ht="15" customHeight="1">
      <c r="D11" s="1224" t="s">
        <v>107</v>
      </c>
      <c r="E11" s="1226" t="s">
        <v>293</v>
      </c>
      <c r="F11" s="1226" t="s">
        <v>294</v>
      </c>
      <c r="G11" s="1212" t="s">
        <v>19</v>
      </c>
      <c r="H11" s="883"/>
      <c r="I11" s="1229"/>
      <c r="J11" s="1174"/>
      <c r="K11" s="831"/>
      <c r="L11" s="1166"/>
      <c r="M11" s="1166"/>
      <c r="N11" s="877"/>
      <c r="O11" s="1166"/>
      <c r="P11" s="1174"/>
      <c r="Q11" s="831"/>
      <c r="R11" s="1166"/>
      <c r="S11" s="1166"/>
      <c r="T11" s="878"/>
      <c r="U11" s="1166"/>
      <c r="V11" s="1174"/>
      <c r="W11" s="801"/>
      <c r="X11" s="1166"/>
      <c r="Y11" s="1166"/>
      <c r="Z11" s="877"/>
      <c r="AA11" s="1166"/>
      <c r="AB11" s="1174"/>
      <c r="AC11" s="879"/>
      <c r="AD11" s="1166"/>
      <c r="AE11" s="1166"/>
      <c r="AF11" s="801"/>
      <c r="AG11" s="801"/>
      <c r="AH11" s="877"/>
      <c r="AI11" s="743"/>
      <c r="BM11">
        <v>14</v>
      </c>
    </row>
    <row r="12" spans="1:65" ht="14.65" customHeight="1">
      <c r="D12" s="1224"/>
      <c r="E12" s="1226"/>
      <c r="F12" s="1226"/>
      <c r="G12" s="1213"/>
      <c r="H12" s="884"/>
      <c r="I12" s="1230"/>
      <c r="J12" s="1175"/>
      <c r="K12" s="339"/>
      <c r="L12" s="1167"/>
      <c r="M12" s="1167"/>
      <c r="N12" s="32"/>
      <c r="O12" s="1167"/>
      <c r="P12" s="1175"/>
      <c r="Q12" s="380"/>
      <c r="R12" s="1167"/>
      <c r="S12" s="1167"/>
      <c r="T12" s="880"/>
      <c r="U12" s="1167"/>
      <c r="V12" s="1175"/>
      <c r="W12" s="53"/>
      <c r="X12" s="1167"/>
      <c r="Y12" s="1167"/>
      <c r="Z12" s="32"/>
      <c r="AA12" s="1167"/>
      <c r="AB12" s="1175"/>
      <c r="AC12" s="339"/>
      <c r="AD12" s="1167"/>
      <c r="AE12" s="1167"/>
      <c r="AF12" s="744"/>
      <c r="AG12" s="744"/>
      <c r="AH12" s="1233"/>
      <c r="AI12" s="1234"/>
      <c r="BM12">
        <v>14</v>
      </c>
    </row>
    <row r="13" spans="1:65" ht="14.65" customHeight="1">
      <c r="D13" s="1224"/>
      <c r="E13" s="1226"/>
      <c r="F13" s="1226"/>
      <c r="G13" s="1213"/>
      <c r="H13" s="884"/>
      <c r="I13" s="1230"/>
      <c r="J13" s="1175"/>
      <c r="K13" s="339"/>
      <c r="L13" s="1167"/>
      <c r="M13" s="1167"/>
      <c r="N13" s="32"/>
      <c r="O13" s="1167"/>
      <c r="P13" s="1175"/>
      <c r="Q13" s="380"/>
      <c r="R13" s="1167"/>
      <c r="S13" s="1167"/>
      <c r="T13" s="880"/>
      <c r="U13" s="1167"/>
      <c r="V13" s="1175"/>
      <c r="W13" s="53"/>
      <c r="X13" s="1167"/>
      <c r="Y13" s="1167"/>
      <c r="Z13" s="53"/>
      <c r="AA13" s="744"/>
      <c r="AB13" s="1233"/>
      <c r="AC13" s="1233"/>
      <c r="AD13" s="1233"/>
      <c r="AE13" s="1233"/>
      <c r="AF13" s="1233"/>
      <c r="AG13" s="1233"/>
      <c r="AH13" s="1233"/>
      <c r="AI13" s="1234"/>
      <c r="BM13">
        <v>14</v>
      </c>
    </row>
    <row r="14" spans="1:65" ht="14.65" customHeight="1">
      <c r="D14" s="1224"/>
      <c r="E14" s="1226"/>
      <c r="F14" s="1226"/>
      <c r="G14" s="1213"/>
      <c r="H14" s="884"/>
      <c r="I14" s="1230"/>
      <c r="J14" s="1175"/>
      <c r="K14" s="339"/>
      <c r="L14" s="1167"/>
      <c r="M14" s="1167"/>
      <c r="N14" s="32"/>
      <c r="O14" s="1167"/>
      <c r="P14" s="1175"/>
      <c r="Q14" s="380"/>
      <c r="R14" s="1167"/>
      <c r="S14" s="1167"/>
      <c r="T14" s="49"/>
      <c r="U14" s="881"/>
      <c r="V14" s="1233"/>
      <c r="W14" s="1233"/>
      <c r="X14" s="1233"/>
      <c r="Y14" s="1233"/>
      <c r="Z14" s="1233"/>
      <c r="AA14" s="1233"/>
      <c r="AB14" s="1233"/>
      <c r="AC14" s="1233"/>
      <c r="AD14" s="1233"/>
      <c r="AE14" s="1233"/>
      <c r="AF14" s="1233"/>
      <c r="AG14" s="1233"/>
      <c r="AH14" s="1233"/>
      <c r="AI14" s="1234"/>
      <c r="BM14">
        <v>14</v>
      </c>
    </row>
    <row r="15" spans="1:65" ht="11.45" customHeight="1">
      <c r="D15" s="1224"/>
      <c r="E15" s="1226"/>
      <c r="F15" s="1226"/>
      <c r="G15" s="1213"/>
      <c r="H15" s="885"/>
      <c r="I15" s="1230"/>
      <c r="J15" s="1175"/>
      <c r="K15" s="339"/>
      <c r="L15" s="1167"/>
      <c r="M15" s="1167"/>
      <c r="N15" s="744"/>
      <c r="O15" s="744"/>
      <c r="P15" s="1233"/>
      <c r="Q15" s="1233"/>
      <c r="R15" s="1233"/>
      <c r="S15" s="1233"/>
      <c r="T15" s="1233"/>
      <c r="U15" s="1233"/>
      <c r="V15" s="1233"/>
      <c r="W15" s="1233"/>
      <c r="X15" s="1233"/>
      <c r="Y15" s="1233"/>
      <c r="Z15" s="1233"/>
      <c r="AA15" s="1233"/>
      <c r="AB15" s="1233"/>
      <c r="AC15" s="1233"/>
      <c r="AD15" s="1233"/>
      <c r="AE15" s="1233"/>
      <c r="AF15" s="1233"/>
      <c r="AG15" s="1233"/>
      <c r="AH15" s="1233"/>
      <c r="AI15" s="1234"/>
      <c r="BM15">
        <v>11</v>
      </c>
    </row>
    <row r="16" spans="1:65" s="858" customFormat="1" ht="11.45" customHeight="1">
      <c r="D16" s="1225"/>
      <c r="E16" s="1227"/>
      <c r="F16" s="1228"/>
      <c r="G16" s="1161"/>
      <c r="H16" s="882"/>
      <c r="I16" s="886"/>
      <c r="J16" s="1231"/>
      <c r="K16" s="1231"/>
      <c r="L16" s="1231"/>
      <c r="M16" s="1231"/>
      <c r="N16" s="1231"/>
      <c r="O16" s="1231"/>
      <c r="P16" s="1231"/>
      <c r="Q16" s="1231"/>
      <c r="R16" s="1231"/>
      <c r="S16" s="1231"/>
      <c r="T16" s="1231"/>
      <c r="U16" s="1231"/>
      <c r="V16" s="1231"/>
      <c r="W16" s="1231"/>
      <c r="X16" s="1231"/>
      <c r="Y16" s="1231"/>
      <c r="Z16" s="1231"/>
      <c r="AA16" s="1231"/>
      <c r="AB16" s="1231"/>
      <c r="AC16" s="1231"/>
      <c r="AD16" s="1231"/>
      <c r="AE16" s="1231"/>
      <c r="AF16" s="1231"/>
      <c r="AG16" s="1231"/>
      <c r="AH16" s="1231"/>
      <c r="AI16" s="1232"/>
      <c r="AJ16"/>
      <c r="AK16" s="45"/>
      <c r="AL16"/>
      <c r="AM16"/>
      <c r="AN16"/>
      <c r="AO16"/>
      <c r="AP16"/>
      <c r="AQ16"/>
      <c r="AR16"/>
      <c r="AS16"/>
      <c r="AT16"/>
      <c r="AU16"/>
      <c r="AV16"/>
      <c r="AW16"/>
      <c r="AX16"/>
      <c r="AY16"/>
      <c r="AZ16"/>
      <c r="BA16"/>
      <c r="BB16"/>
      <c r="BC16"/>
      <c r="BD16"/>
      <c r="BE16"/>
      <c r="BF16"/>
      <c r="BG16"/>
      <c r="BH16"/>
      <c r="BI16"/>
      <c r="BJ16"/>
      <c r="BK16"/>
      <c r="BL16"/>
      <c r="BM16" s="858">
        <v>11</v>
      </c>
    </row>
    <row r="17" spans="4:65" ht="15" customHeight="1">
      <c r="D17" s="1224" t="s">
        <v>108</v>
      </c>
      <c r="E17" s="1226" t="s">
        <v>293</v>
      </c>
      <c r="F17" s="1226" t="s">
        <v>295</v>
      </c>
      <c r="G17" s="1212" t="s">
        <v>19</v>
      </c>
      <c r="H17" s="883"/>
      <c r="I17" s="1229"/>
      <c r="J17" s="1174"/>
      <c r="K17" s="831"/>
      <c r="L17" s="1166"/>
      <c r="M17" s="1166"/>
      <c r="N17" s="877"/>
      <c r="O17" s="1166"/>
      <c r="P17" s="1174"/>
      <c r="Q17" s="831"/>
      <c r="R17" s="1166"/>
      <c r="S17" s="1166"/>
      <c r="T17" s="878"/>
      <c r="U17" s="1166"/>
      <c r="V17" s="1174"/>
      <c r="W17" s="801"/>
      <c r="X17" s="1166"/>
      <c r="Y17" s="1166"/>
      <c r="Z17" s="877"/>
      <c r="AA17" s="1166"/>
      <c r="AB17" s="1174"/>
      <c r="AC17" s="879"/>
      <c r="AD17" s="1166"/>
      <c r="AE17" s="1166"/>
      <c r="AF17" s="801"/>
      <c r="AG17" s="801"/>
      <c r="AH17" s="877"/>
      <c r="AI17" s="743"/>
      <c r="BM17">
        <v>14</v>
      </c>
    </row>
    <row r="18" spans="4:65" ht="14.65" customHeight="1">
      <c r="D18" s="1224"/>
      <c r="E18" s="1226"/>
      <c r="F18" s="1226"/>
      <c r="G18" s="1213"/>
      <c r="H18" s="884"/>
      <c r="I18" s="1230"/>
      <c r="J18" s="1175"/>
      <c r="K18" s="339"/>
      <c r="L18" s="1167"/>
      <c r="M18" s="1167"/>
      <c r="N18" s="32"/>
      <c r="O18" s="1167"/>
      <c r="P18" s="1175"/>
      <c r="Q18" s="380"/>
      <c r="R18" s="1167"/>
      <c r="S18" s="1167"/>
      <c r="T18" s="880"/>
      <c r="U18" s="1167"/>
      <c r="V18" s="1175"/>
      <c r="W18" s="53"/>
      <c r="X18" s="1167"/>
      <c r="Y18" s="1167"/>
      <c r="Z18" s="32"/>
      <c r="AA18" s="1167"/>
      <c r="AB18" s="1175"/>
      <c r="AC18" s="339"/>
      <c r="AD18" s="1167"/>
      <c r="AE18" s="1167"/>
      <c r="AF18" s="744"/>
      <c r="AG18" s="744"/>
      <c r="AH18" s="1233"/>
      <c r="AI18" s="1234"/>
      <c r="BM18">
        <v>14</v>
      </c>
    </row>
    <row r="19" spans="4:65" ht="14.65" customHeight="1">
      <c r="D19" s="1224"/>
      <c r="E19" s="1226"/>
      <c r="F19" s="1226"/>
      <c r="G19" s="1213"/>
      <c r="H19" s="884"/>
      <c r="I19" s="1230"/>
      <c r="J19" s="1175"/>
      <c r="K19" s="339"/>
      <c r="L19" s="1167"/>
      <c r="M19" s="1167"/>
      <c r="N19" s="32"/>
      <c r="O19" s="1167"/>
      <c r="P19" s="1175"/>
      <c r="Q19" s="380"/>
      <c r="R19" s="1167"/>
      <c r="S19" s="1167"/>
      <c r="T19" s="880"/>
      <c r="U19" s="1167"/>
      <c r="V19" s="1175"/>
      <c r="W19" s="53"/>
      <c r="X19" s="1167"/>
      <c r="Y19" s="1167"/>
      <c r="Z19" s="53"/>
      <c r="AA19" s="744"/>
      <c r="AB19" s="1233"/>
      <c r="AC19" s="1233"/>
      <c r="AD19" s="1233"/>
      <c r="AE19" s="1233"/>
      <c r="AF19" s="1233"/>
      <c r="AG19" s="1233"/>
      <c r="AH19" s="1233"/>
      <c r="AI19" s="1234"/>
      <c r="BM19">
        <v>14</v>
      </c>
    </row>
    <row r="20" spans="4:65" ht="14.65" customHeight="1">
      <c r="D20" s="1224"/>
      <c r="E20" s="1226"/>
      <c r="F20" s="1226"/>
      <c r="G20" s="1213"/>
      <c r="H20" s="884"/>
      <c r="I20" s="1230"/>
      <c r="J20" s="1175"/>
      <c r="K20" s="339"/>
      <c r="L20" s="1167"/>
      <c r="M20" s="1167"/>
      <c r="N20" s="32"/>
      <c r="O20" s="1167"/>
      <c r="P20" s="1175"/>
      <c r="Q20" s="380"/>
      <c r="R20" s="1167"/>
      <c r="S20" s="1167"/>
      <c r="T20" s="49"/>
      <c r="U20" s="881"/>
      <c r="V20" s="1233"/>
      <c r="W20" s="1233"/>
      <c r="X20" s="1233"/>
      <c r="Y20" s="1233"/>
      <c r="Z20" s="1233"/>
      <c r="AA20" s="1233"/>
      <c r="AB20" s="1233"/>
      <c r="AC20" s="1233"/>
      <c r="AD20" s="1233"/>
      <c r="AE20" s="1233"/>
      <c r="AF20" s="1233"/>
      <c r="AG20" s="1233"/>
      <c r="AH20" s="1233"/>
      <c r="AI20" s="1234"/>
      <c r="BM20">
        <v>14</v>
      </c>
    </row>
    <row r="21" spans="4:65" ht="11.45" customHeight="1">
      <c r="D21" s="1224"/>
      <c r="E21" s="1226"/>
      <c r="F21" s="1226"/>
      <c r="G21" s="1213"/>
      <c r="H21" s="885"/>
      <c r="I21" s="1230"/>
      <c r="J21" s="1175"/>
      <c r="K21" s="339"/>
      <c r="L21" s="1167"/>
      <c r="M21" s="1167"/>
      <c r="N21" s="744"/>
      <c r="O21" s="744"/>
      <c r="P21" s="1233"/>
      <c r="Q21" s="1233"/>
      <c r="R21" s="1233"/>
      <c r="S21" s="1233"/>
      <c r="T21" s="1233"/>
      <c r="U21" s="1233"/>
      <c r="V21" s="1233"/>
      <c r="W21" s="1233"/>
      <c r="X21" s="1233"/>
      <c r="Y21" s="1233"/>
      <c r="Z21" s="1233"/>
      <c r="AA21" s="1233"/>
      <c r="AB21" s="1233"/>
      <c r="AC21" s="1233"/>
      <c r="AD21" s="1233"/>
      <c r="AE21" s="1233"/>
      <c r="AF21" s="1233"/>
      <c r="AG21" s="1233"/>
      <c r="AH21" s="1233"/>
      <c r="AI21" s="1234"/>
      <c r="BM21">
        <v>11</v>
      </c>
    </row>
    <row r="22" spans="4:65" s="858" customFormat="1" ht="11.45" customHeight="1">
      <c r="D22" s="1225"/>
      <c r="E22" s="1227"/>
      <c r="F22" s="1228"/>
      <c r="G22" s="1161"/>
      <c r="H22" s="882"/>
      <c r="I22" s="886"/>
      <c r="J22" s="1231"/>
      <c r="K22" s="1231"/>
      <c r="L22" s="1231"/>
      <c r="M22" s="1231"/>
      <c r="N22" s="1231"/>
      <c r="O22" s="1231"/>
      <c r="P22" s="1231"/>
      <c r="Q22" s="1231"/>
      <c r="R22" s="1231"/>
      <c r="S22" s="1231"/>
      <c r="T22" s="1231"/>
      <c r="U22" s="1231"/>
      <c r="V22" s="1231"/>
      <c r="W22" s="1231"/>
      <c r="X22" s="1231"/>
      <c r="Y22" s="1231"/>
      <c r="Z22" s="1231"/>
      <c r="AA22" s="1231"/>
      <c r="AB22" s="1231"/>
      <c r="AC22" s="1231"/>
      <c r="AD22" s="1231"/>
      <c r="AE22" s="1231"/>
      <c r="AF22" s="1231"/>
      <c r="AG22" s="1231"/>
      <c r="AH22" s="1231"/>
      <c r="AI22" s="1232"/>
      <c r="AJ22"/>
      <c r="AK22" s="45"/>
      <c r="AL22"/>
      <c r="AM22"/>
      <c r="AN22"/>
      <c r="AO22"/>
      <c r="AP22"/>
      <c r="AQ22"/>
      <c r="AR22"/>
      <c r="AS22"/>
      <c r="AT22"/>
      <c r="AU22"/>
      <c r="AV22"/>
      <c r="AW22"/>
      <c r="AX22"/>
      <c r="AY22"/>
      <c r="AZ22"/>
      <c r="BA22"/>
      <c r="BB22"/>
      <c r="BC22"/>
      <c r="BD22"/>
      <c r="BE22"/>
      <c r="BF22"/>
      <c r="BG22"/>
      <c r="BH22"/>
      <c r="BI22"/>
      <c r="BJ22"/>
      <c r="BK22"/>
      <c r="BL22"/>
      <c r="BM22" s="858">
        <v>11</v>
      </c>
    </row>
    <row r="23" spans="4:65" ht="15" customHeight="1">
      <c r="D23" s="1224" t="s">
        <v>88</v>
      </c>
      <c r="E23" s="1226" t="s">
        <v>293</v>
      </c>
      <c r="F23" s="1226" t="s">
        <v>296</v>
      </c>
      <c r="G23" s="1212" t="s">
        <v>19</v>
      </c>
      <c r="H23" s="883"/>
      <c r="I23" s="1229"/>
      <c r="J23" s="1174"/>
      <c r="K23" s="831"/>
      <c r="L23" s="1166"/>
      <c r="M23" s="1166"/>
      <c r="N23" s="877"/>
      <c r="O23" s="1166"/>
      <c r="P23" s="1174"/>
      <c r="Q23" s="831"/>
      <c r="R23" s="1166"/>
      <c r="S23" s="1166"/>
      <c r="T23" s="878"/>
      <c r="U23" s="1166"/>
      <c r="V23" s="1174"/>
      <c r="W23" s="801"/>
      <c r="X23" s="1166"/>
      <c r="Y23" s="1166"/>
      <c r="Z23" s="877"/>
      <c r="AA23" s="1166"/>
      <c r="AB23" s="1174"/>
      <c r="AC23" s="879"/>
      <c r="AD23" s="1166"/>
      <c r="AE23" s="1166"/>
      <c r="AF23" s="801"/>
      <c r="AG23" s="801"/>
      <c r="AH23" s="877"/>
      <c r="AI23" s="743"/>
      <c r="AK23" s="45" t="s">
        <v>96</v>
      </c>
      <c r="BM23">
        <v>14</v>
      </c>
    </row>
    <row r="24" spans="4:65" ht="14.65" customHeight="1">
      <c r="D24" s="1224"/>
      <c r="E24" s="1226"/>
      <c r="F24" s="1226"/>
      <c r="G24" s="1213"/>
      <c r="H24" s="884"/>
      <c r="I24" s="1230"/>
      <c r="J24" s="1175"/>
      <c r="K24" s="339"/>
      <c r="L24" s="1167"/>
      <c r="M24" s="1167"/>
      <c r="N24" s="32"/>
      <c r="O24" s="1167"/>
      <c r="P24" s="1175"/>
      <c r="Q24" s="380"/>
      <c r="R24" s="1167"/>
      <c r="S24" s="1167"/>
      <c r="T24" s="880"/>
      <c r="U24" s="1167"/>
      <c r="V24" s="1175"/>
      <c r="W24" s="53"/>
      <c r="X24" s="1167"/>
      <c r="Y24" s="1167"/>
      <c r="Z24" s="32"/>
      <c r="AA24" s="1167"/>
      <c r="AB24" s="1175"/>
      <c r="AC24" s="339"/>
      <c r="AD24" s="1167"/>
      <c r="AE24" s="1167"/>
      <c r="AF24" s="744"/>
      <c r="AG24" s="744"/>
      <c r="AH24" s="1233"/>
      <c r="AI24" s="1234"/>
      <c r="BM24">
        <v>14</v>
      </c>
    </row>
    <row r="25" spans="4:65" ht="14.65" customHeight="1">
      <c r="D25" s="1224"/>
      <c r="E25" s="1226"/>
      <c r="F25" s="1226"/>
      <c r="G25" s="1213"/>
      <c r="H25" s="884"/>
      <c r="I25" s="1230"/>
      <c r="J25" s="1175"/>
      <c r="K25" s="339"/>
      <c r="L25" s="1167"/>
      <c r="M25" s="1167"/>
      <c r="N25" s="32"/>
      <c r="O25" s="1167"/>
      <c r="P25" s="1175"/>
      <c r="Q25" s="380"/>
      <c r="R25" s="1167"/>
      <c r="S25" s="1167"/>
      <c r="T25" s="880"/>
      <c r="U25" s="1167"/>
      <c r="V25" s="1175"/>
      <c r="W25" s="53"/>
      <c r="X25" s="1167"/>
      <c r="Y25" s="1167"/>
      <c r="Z25" s="53"/>
      <c r="AA25" s="744"/>
      <c r="AB25" s="1233"/>
      <c r="AC25" s="1233"/>
      <c r="AD25" s="1233"/>
      <c r="AE25" s="1233"/>
      <c r="AF25" s="1233"/>
      <c r="AG25" s="1233"/>
      <c r="AH25" s="1233"/>
      <c r="AI25" s="1234"/>
      <c r="BM25">
        <v>14</v>
      </c>
    </row>
    <row r="26" spans="4:65" ht="14.65" customHeight="1">
      <c r="D26" s="1224"/>
      <c r="E26" s="1226"/>
      <c r="F26" s="1226"/>
      <c r="G26" s="1213"/>
      <c r="H26" s="884"/>
      <c r="I26" s="1230"/>
      <c r="J26" s="1175"/>
      <c r="K26" s="339"/>
      <c r="L26" s="1167"/>
      <c r="M26" s="1167"/>
      <c r="N26" s="32"/>
      <c r="O26" s="1167"/>
      <c r="P26" s="1175"/>
      <c r="Q26" s="380"/>
      <c r="R26" s="1167"/>
      <c r="S26" s="1167"/>
      <c r="T26" s="49"/>
      <c r="U26" s="881"/>
      <c r="V26" s="1233"/>
      <c r="W26" s="1233"/>
      <c r="X26" s="1233"/>
      <c r="Y26" s="1233"/>
      <c r="Z26" s="1233"/>
      <c r="AA26" s="1233"/>
      <c r="AB26" s="1233"/>
      <c r="AC26" s="1233"/>
      <c r="AD26" s="1233"/>
      <c r="AE26" s="1233"/>
      <c r="AF26" s="1233"/>
      <c r="AG26" s="1233"/>
      <c r="AH26" s="1233"/>
      <c r="AI26" s="1234"/>
      <c r="BM26">
        <v>14</v>
      </c>
    </row>
    <row r="27" spans="4:65" ht="11.45" customHeight="1">
      <c r="D27" s="1224"/>
      <c r="E27" s="1226"/>
      <c r="F27" s="1226"/>
      <c r="G27" s="1213"/>
      <c r="H27" s="885"/>
      <c r="I27" s="1230"/>
      <c r="J27" s="1175"/>
      <c r="K27" s="339"/>
      <c r="L27" s="1167"/>
      <c r="M27" s="1167"/>
      <c r="N27" s="744"/>
      <c r="O27" s="744"/>
      <c r="P27" s="1233"/>
      <c r="Q27" s="1233"/>
      <c r="R27" s="1233"/>
      <c r="S27" s="1233"/>
      <c r="T27" s="1233"/>
      <c r="U27" s="1233"/>
      <c r="V27" s="1233"/>
      <c r="W27" s="1233"/>
      <c r="X27" s="1233"/>
      <c r="Y27" s="1233"/>
      <c r="Z27" s="1233"/>
      <c r="AA27" s="1233"/>
      <c r="AB27" s="1233"/>
      <c r="AC27" s="1233"/>
      <c r="AD27" s="1233"/>
      <c r="AE27" s="1233"/>
      <c r="AF27" s="1233"/>
      <c r="AG27" s="1233"/>
      <c r="AH27" s="1233"/>
      <c r="AI27" s="1234"/>
      <c r="BM27">
        <v>11</v>
      </c>
    </row>
    <row r="28" spans="4:65" s="858" customFormat="1" ht="11.45" customHeight="1">
      <c r="D28" s="1225"/>
      <c r="E28" s="1227"/>
      <c r="F28" s="1228"/>
      <c r="G28" s="1161"/>
      <c r="H28" s="882"/>
      <c r="I28" s="886"/>
      <c r="J28" s="1231"/>
      <c r="K28" s="1231"/>
      <c r="L28" s="1231"/>
      <c r="M28" s="1231"/>
      <c r="N28" s="1231"/>
      <c r="O28" s="1231"/>
      <c r="P28" s="1231"/>
      <c r="Q28" s="1231"/>
      <c r="R28" s="1231"/>
      <c r="S28" s="1231"/>
      <c r="T28" s="1231"/>
      <c r="U28" s="1231"/>
      <c r="V28" s="1231"/>
      <c r="W28" s="1231"/>
      <c r="X28" s="1231"/>
      <c r="Y28" s="1231"/>
      <c r="Z28" s="1231"/>
      <c r="AA28" s="1231"/>
      <c r="AB28" s="1231"/>
      <c r="AC28" s="1231"/>
      <c r="AD28" s="1231"/>
      <c r="AE28" s="1231"/>
      <c r="AF28" s="1231"/>
      <c r="AG28" s="1231"/>
      <c r="AH28" s="1231"/>
      <c r="AI28" s="1232"/>
      <c r="AJ28"/>
      <c r="AK28" s="45"/>
      <c r="AL28"/>
      <c r="AM28"/>
      <c r="AN28"/>
      <c r="AO28"/>
      <c r="AP28"/>
      <c r="AQ28"/>
      <c r="AR28"/>
      <c r="AS28"/>
      <c r="AT28"/>
      <c r="AU28"/>
      <c r="AV28"/>
      <c r="AW28"/>
      <c r="AX28"/>
      <c r="AY28"/>
      <c r="AZ28"/>
      <c r="BA28"/>
      <c r="BB28"/>
      <c r="BC28"/>
      <c r="BD28"/>
      <c r="BE28"/>
      <c r="BF28"/>
      <c r="BG28"/>
      <c r="BH28"/>
      <c r="BI28"/>
      <c r="BJ28"/>
      <c r="BK28"/>
      <c r="BL28"/>
      <c r="BM28" s="858">
        <v>11</v>
      </c>
    </row>
    <row r="29" spans="4:65" ht="15" customHeight="1">
      <c r="D29" s="1224" t="s">
        <v>89</v>
      </c>
      <c r="E29" s="1226" t="s">
        <v>293</v>
      </c>
      <c r="F29" s="1226" t="s">
        <v>297</v>
      </c>
      <c r="G29" s="1212" t="s">
        <v>19</v>
      </c>
      <c r="H29" s="883"/>
      <c r="I29" s="1229"/>
      <c r="J29" s="1174"/>
      <c r="K29" s="831"/>
      <c r="L29" s="1166"/>
      <c r="M29" s="1166"/>
      <c r="N29" s="877"/>
      <c r="O29" s="1166"/>
      <c r="P29" s="1174"/>
      <c r="Q29" s="831"/>
      <c r="R29" s="1166"/>
      <c r="S29" s="1166"/>
      <c r="T29" s="878"/>
      <c r="U29" s="1166"/>
      <c r="V29" s="1174"/>
      <c r="W29" s="801"/>
      <c r="X29" s="1166"/>
      <c r="Y29" s="1166"/>
      <c r="Z29" s="877"/>
      <c r="AA29" s="1166"/>
      <c r="AB29" s="1174"/>
      <c r="AC29" s="879"/>
      <c r="AD29" s="1166"/>
      <c r="AE29" s="1166"/>
      <c r="AF29" s="801"/>
      <c r="AG29" s="801"/>
      <c r="AH29" s="877"/>
      <c r="AI29" s="743"/>
      <c r="BM29">
        <v>14</v>
      </c>
    </row>
    <row r="30" spans="4:65" ht="14.65" customHeight="1">
      <c r="D30" s="1224"/>
      <c r="E30" s="1226"/>
      <c r="F30" s="1226"/>
      <c r="G30" s="1213"/>
      <c r="H30" s="884"/>
      <c r="I30" s="1230"/>
      <c r="J30" s="1175"/>
      <c r="K30" s="339"/>
      <c r="L30" s="1167"/>
      <c r="M30" s="1167"/>
      <c r="N30" s="32"/>
      <c r="O30" s="1167"/>
      <c r="P30" s="1175"/>
      <c r="Q30" s="380"/>
      <c r="R30" s="1167"/>
      <c r="S30" s="1167"/>
      <c r="T30" s="880"/>
      <c r="U30" s="1167"/>
      <c r="V30" s="1175"/>
      <c r="W30" s="53"/>
      <c r="X30" s="1167"/>
      <c r="Y30" s="1167"/>
      <c r="Z30" s="32"/>
      <c r="AA30" s="1167"/>
      <c r="AB30" s="1175"/>
      <c r="AC30" s="339"/>
      <c r="AD30" s="1167"/>
      <c r="AE30" s="1167"/>
      <c r="AF30" s="744"/>
      <c r="AG30" s="744"/>
      <c r="AH30" s="1233"/>
      <c r="AI30" s="1234"/>
      <c r="BM30">
        <v>14</v>
      </c>
    </row>
    <row r="31" spans="4:65" ht="14.65" customHeight="1">
      <c r="D31" s="1224"/>
      <c r="E31" s="1226"/>
      <c r="F31" s="1226"/>
      <c r="G31" s="1213"/>
      <c r="H31" s="884"/>
      <c r="I31" s="1230"/>
      <c r="J31" s="1175"/>
      <c r="K31" s="339"/>
      <c r="L31" s="1167"/>
      <c r="M31" s="1167"/>
      <c r="N31" s="32"/>
      <c r="O31" s="1167"/>
      <c r="P31" s="1175"/>
      <c r="Q31" s="380"/>
      <c r="R31" s="1167"/>
      <c r="S31" s="1167"/>
      <c r="T31" s="880"/>
      <c r="U31" s="1167"/>
      <c r="V31" s="1175"/>
      <c r="W31" s="53"/>
      <c r="X31" s="1167"/>
      <c r="Y31" s="1167"/>
      <c r="Z31" s="53"/>
      <c r="AA31" s="744"/>
      <c r="AB31" s="1233"/>
      <c r="AC31" s="1233"/>
      <c r="AD31" s="1233"/>
      <c r="AE31" s="1233"/>
      <c r="AF31" s="1233"/>
      <c r="AG31" s="1233"/>
      <c r="AH31" s="1233"/>
      <c r="AI31" s="1234"/>
      <c r="BM31">
        <v>14</v>
      </c>
    </row>
    <row r="32" spans="4:65" ht="14.65" customHeight="1">
      <c r="D32" s="1224"/>
      <c r="E32" s="1226"/>
      <c r="F32" s="1226"/>
      <c r="G32" s="1213"/>
      <c r="H32" s="884"/>
      <c r="I32" s="1230"/>
      <c r="J32" s="1175"/>
      <c r="K32" s="339"/>
      <c r="L32" s="1167"/>
      <c r="M32" s="1167"/>
      <c r="N32" s="32"/>
      <c r="O32" s="1167"/>
      <c r="P32" s="1175"/>
      <c r="Q32" s="380"/>
      <c r="R32" s="1167"/>
      <c r="S32" s="1167"/>
      <c r="T32" s="49"/>
      <c r="U32" s="881"/>
      <c r="V32" s="1233"/>
      <c r="W32" s="1233"/>
      <c r="X32" s="1233"/>
      <c r="Y32" s="1233"/>
      <c r="Z32" s="1233"/>
      <c r="AA32" s="1233"/>
      <c r="AB32" s="1233"/>
      <c r="AC32" s="1233"/>
      <c r="AD32" s="1233"/>
      <c r="AE32" s="1233"/>
      <c r="AF32" s="1233"/>
      <c r="AG32" s="1233"/>
      <c r="AH32" s="1233"/>
      <c r="AI32" s="1234"/>
      <c r="BM32">
        <v>14</v>
      </c>
    </row>
    <row r="33" spans="4:65" ht="11.45" customHeight="1">
      <c r="D33" s="1224"/>
      <c r="E33" s="1226"/>
      <c r="F33" s="1226"/>
      <c r="G33" s="1213"/>
      <c r="H33" s="885"/>
      <c r="I33" s="1230"/>
      <c r="J33" s="1175"/>
      <c r="K33" s="339"/>
      <c r="L33" s="1167"/>
      <c r="M33" s="1167"/>
      <c r="N33" s="744"/>
      <c r="O33" s="744"/>
      <c r="P33" s="1233"/>
      <c r="Q33" s="1233"/>
      <c r="R33" s="1233"/>
      <c r="S33" s="1233"/>
      <c r="T33" s="1233"/>
      <c r="U33" s="1233"/>
      <c r="V33" s="1233"/>
      <c r="W33" s="1233"/>
      <c r="X33" s="1233"/>
      <c r="Y33" s="1233"/>
      <c r="Z33" s="1233"/>
      <c r="AA33" s="1233"/>
      <c r="AB33" s="1233"/>
      <c r="AC33" s="1233"/>
      <c r="AD33" s="1233"/>
      <c r="AE33" s="1233"/>
      <c r="AF33" s="1233"/>
      <c r="AG33" s="1233"/>
      <c r="AH33" s="1233"/>
      <c r="AI33" s="1234"/>
      <c r="BM33">
        <v>11</v>
      </c>
    </row>
    <row r="34" spans="4:65" s="858" customFormat="1" ht="11.45" customHeight="1">
      <c r="D34" s="1225"/>
      <c r="E34" s="1227"/>
      <c r="F34" s="1228"/>
      <c r="G34" s="1161"/>
      <c r="H34" s="882"/>
      <c r="I34" s="886"/>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2"/>
      <c r="AJ34"/>
      <c r="AK34" s="45"/>
      <c r="AL34"/>
      <c r="AM34"/>
      <c r="AN34"/>
      <c r="AO34"/>
      <c r="AP34"/>
      <c r="AQ34"/>
      <c r="AR34"/>
      <c r="AS34"/>
      <c r="AT34"/>
      <c r="AU34"/>
      <c r="AV34"/>
      <c r="AW34"/>
      <c r="AX34"/>
      <c r="AY34"/>
      <c r="AZ34"/>
      <c r="BA34"/>
      <c r="BB34"/>
      <c r="BC34"/>
      <c r="BD34"/>
      <c r="BE34"/>
      <c r="BF34"/>
      <c r="BG34"/>
      <c r="BH34"/>
      <c r="BI34"/>
      <c r="BJ34"/>
      <c r="BK34"/>
      <c r="BL34"/>
      <c r="BM34" s="858">
        <v>11</v>
      </c>
    </row>
    <row r="35" spans="4:65" ht="15" customHeight="1">
      <c r="D35" s="1224" t="s">
        <v>109</v>
      </c>
      <c r="E35" s="1226" t="s">
        <v>293</v>
      </c>
      <c r="F35" s="1226" t="s">
        <v>298</v>
      </c>
      <c r="G35" s="1212" t="s">
        <v>19</v>
      </c>
      <c r="H35" s="883"/>
      <c r="I35" s="1229"/>
      <c r="J35" s="1174"/>
      <c r="K35" s="831"/>
      <c r="L35" s="1166"/>
      <c r="M35" s="1166"/>
      <c r="N35" s="877"/>
      <c r="O35" s="1166"/>
      <c r="P35" s="1174"/>
      <c r="Q35" s="831"/>
      <c r="R35" s="1166"/>
      <c r="S35" s="1166"/>
      <c r="T35" s="878"/>
      <c r="U35" s="1166"/>
      <c r="V35" s="1174"/>
      <c r="W35" s="801"/>
      <c r="X35" s="1166"/>
      <c r="Y35" s="1166"/>
      <c r="Z35" s="877"/>
      <c r="AA35" s="1166"/>
      <c r="AB35" s="1174"/>
      <c r="AC35" s="879"/>
      <c r="AD35" s="1166"/>
      <c r="AE35" s="1166"/>
      <c r="AF35" s="801"/>
      <c r="AG35" s="801"/>
      <c r="AH35" s="877"/>
      <c r="AI35" s="743"/>
      <c r="BM35">
        <v>14</v>
      </c>
    </row>
    <row r="36" spans="4:65" ht="14.65" customHeight="1">
      <c r="D36" s="1224"/>
      <c r="E36" s="1226"/>
      <c r="F36" s="1226"/>
      <c r="G36" s="1213"/>
      <c r="H36" s="884"/>
      <c r="I36" s="1230"/>
      <c r="J36" s="1175"/>
      <c r="K36" s="339"/>
      <c r="L36" s="1167"/>
      <c r="M36" s="1167"/>
      <c r="N36" s="32"/>
      <c r="O36" s="1167"/>
      <c r="P36" s="1175"/>
      <c r="Q36" s="380"/>
      <c r="R36" s="1167"/>
      <c r="S36" s="1167"/>
      <c r="T36" s="880"/>
      <c r="U36" s="1167"/>
      <c r="V36" s="1175"/>
      <c r="W36" s="53"/>
      <c r="X36" s="1167"/>
      <c r="Y36" s="1167"/>
      <c r="Z36" s="32"/>
      <c r="AA36" s="1167"/>
      <c r="AB36" s="1175"/>
      <c r="AC36" s="339"/>
      <c r="AD36" s="1167"/>
      <c r="AE36" s="1167"/>
      <c r="AF36" s="744"/>
      <c r="AG36" s="744"/>
      <c r="AH36" s="1233"/>
      <c r="AI36" s="1234"/>
      <c r="BM36">
        <v>14</v>
      </c>
    </row>
    <row r="37" spans="4:65" ht="14.65" customHeight="1">
      <c r="D37" s="1224"/>
      <c r="E37" s="1226"/>
      <c r="F37" s="1226"/>
      <c r="G37" s="1213"/>
      <c r="H37" s="884"/>
      <c r="I37" s="1230"/>
      <c r="J37" s="1175"/>
      <c r="K37" s="339"/>
      <c r="L37" s="1167"/>
      <c r="M37" s="1167"/>
      <c r="N37" s="32"/>
      <c r="O37" s="1167"/>
      <c r="P37" s="1175"/>
      <c r="Q37" s="380"/>
      <c r="R37" s="1167"/>
      <c r="S37" s="1167"/>
      <c r="T37" s="880"/>
      <c r="U37" s="1167"/>
      <c r="V37" s="1175"/>
      <c r="W37" s="53"/>
      <c r="X37" s="1167"/>
      <c r="Y37" s="1167"/>
      <c r="Z37" s="53"/>
      <c r="AA37" s="744"/>
      <c r="AB37" s="1233"/>
      <c r="AC37" s="1233"/>
      <c r="AD37" s="1233"/>
      <c r="AE37" s="1233"/>
      <c r="AF37" s="1233"/>
      <c r="AG37" s="1233"/>
      <c r="AH37" s="1233"/>
      <c r="AI37" s="1234"/>
      <c r="BM37">
        <v>14</v>
      </c>
    </row>
    <row r="38" spans="4:65" ht="14.65" customHeight="1">
      <c r="D38" s="1224"/>
      <c r="E38" s="1226"/>
      <c r="F38" s="1226"/>
      <c r="G38" s="1213"/>
      <c r="H38" s="884"/>
      <c r="I38" s="1230"/>
      <c r="J38" s="1175"/>
      <c r="K38" s="339"/>
      <c r="L38" s="1167"/>
      <c r="M38" s="1167"/>
      <c r="N38" s="32"/>
      <c r="O38" s="1167"/>
      <c r="P38" s="1175"/>
      <c r="Q38" s="380"/>
      <c r="R38" s="1167"/>
      <c r="S38" s="1167"/>
      <c r="T38" s="49"/>
      <c r="U38" s="881"/>
      <c r="V38" s="1233"/>
      <c r="W38" s="1233"/>
      <c r="X38" s="1233"/>
      <c r="Y38" s="1233"/>
      <c r="Z38" s="1233"/>
      <c r="AA38" s="1233"/>
      <c r="AB38" s="1233"/>
      <c r="AC38" s="1233"/>
      <c r="AD38" s="1233"/>
      <c r="AE38" s="1233"/>
      <c r="AF38" s="1233"/>
      <c r="AG38" s="1233"/>
      <c r="AH38" s="1233"/>
      <c r="AI38" s="1234"/>
      <c r="BM38">
        <v>14</v>
      </c>
    </row>
    <row r="39" spans="4:65" ht="11.45" customHeight="1">
      <c r="D39" s="1224"/>
      <c r="E39" s="1226"/>
      <c r="F39" s="1226"/>
      <c r="G39" s="1213"/>
      <c r="H39" s="885"/>
      <c r="I39" s="1230"/>
      <c r="J39" s="1175"/>
      <c r="K39" s="339"/>
      <c r="L39" s="1167"/>
      <c r="M39" s="1167"/>
      <c r="N39" s="744"/>
      <c r="O39" s="744"/>
      <c r="P39" s="1233"/>
      <c r="Q39" s="1233"/>
      <c r="R39" s="1233"/>
      <c r="S39" s="1233"/>
      <c r="T39" s="1233"/>
      <c r="U39" s="1233"/>
      <c r="V39" s="1233"/>
      <c r="W39" s="1233"/>
      <c r="X39" s="1233"/>
      <c r="Y39" s="1233"/>
      <c r="Z39" s="1233"/>
      <c r="AA39" s="1233"/>
      <c r="AB39" s="1233"/>
      <c r="AC39" s="1233"/>
      <c r="AD39" s="1233"/>
      <c r="AE39" s="1233"/>
      <c r="AF39" s="1233"/>
      <c r="AG39" s="1233"/>
      <c r="AH39" s="1233"/>
      <c r="AI39" s="1234"/>
      <c r="BM39">
        <v>11</v>
      </c>
    </row>
    <row r="40" spans="4:65" s="858" customFormat="1" ht="11.45" customHeight="1">
      <c r="D40" s="1224"/>
      <c r="E40" s="1226"/>
      <c r="F40" s="1235"/>
      <c r="G40" s="1161"/>
      <c r="H40" s="882"/>
      <c r="I40" s="886"/>
      <c r="J40" s="1231"/>
      <c r="K40" s="1231"/>
      <c r="L40" s="1231"/>
      <c r="M40" s="1231"/>
      <c r="N40" s="1231"/>
      <c r="O40" s="1231"/>
      <c r="P40" s="1231"/>
      <c r="Q40" s="1231"/>
      <c r="R40" s="1231"/>
      <c r="S40" s="1231"/>
      <c r="T40" s="1231"/>
      <c r="U40" s="1231"/>
      <c r="V40" s="1231"/>
      <c r="W40" s="1231"/>
      <c r="X40" s="1231"/>
      <c r="Y40" s="1231"/>
      <c r="Z40" s="1231"/>
      <c r="AA40" s="1231"/>
      <c r="AB40" s="1231"/>
      <c r="AC40" s="1231"/>
      <c r="AD40" s="1231"/>
      <c r="AE40" s="1231"/>
      <c r="AF40" s="1231"/>
      <c r="AG40" s="1231"/>
      <c r="AH40" s="1231"/>
      <c r="AI40" s="1232"/>
      <c r="AJ40"/>
      <c r="AK40" s="45"/>
      <c r="AL40"/>
      <c r="AM40"/>
      <c r="AN40"/>
      <c r="AO40"/>
      <c r="AP40"/>
      <c r="AQ40"/>
      <c r="AR40"/>
      <c r="AS40"/>
      <c r="AT40"/>
      <c r="AU40"/>
      <c r="AV40"/>
      <c r="AW40"/>
      <c r="AX40"/>
      <c r="AY40"/>
      <c r="AZ40"/>
      <c r="BA40"/>
      <c r="BB40"/>
      <c r="BC40"/>
      <c r="BD40"/>
      <c r="BE40"/>
      <c r="BF40"/>
      <c r="BG40"/>
      <c r="BH40"/>
      <c r="BI40"/>
      <c r="BJ40"/>
      <c r="BK40"/>
      <c r="BL40"/>
      <c r="BM40" s="858">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80</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5">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6" t="s">
        <v>1899</v>
      </c>
      <c r="C2" s="1476"/>
      <c r="D2" s="1476"/>
      <c r="E2" s="155"/>
      <c r="F2">
        <v>22</v>
      </c>
    </row>
    <row r="3" spans="1:6" ht="3" customHeight="1">
      <c r="F3">
        <v>3</v>
      </c>
    </row>
    <row r="4" spans="1:6" ht="23.25" customHeight="1">
      <c r="B4" s="215" t="s">
        <v>1900</v>
      </c>
      <c r="C4" s="215" t="s">
        <v>1901</v>
      </c>
      <c r="D4" s="215" t="s">
        <v>1902</v>
      </c>
      <c r="F4">
        <v>22</v>
      </c>
    </row>
    <row r="5" spans="1:6" ht="11.25" hidden="1" customHeight="1">
      <c r="A5" t="s">
        <v>80</v>
      </c>
      <c r="B5">
        <v>34</v>
      </c>
      <c r="C5">
        <v>85</v>
      </c>
      <c r="D5">
        <v>17</v>
      </c>
      <c r="E5">
        <v>8</v>
      </c>
      <c r="F5">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3" customFormat="1" ht="17.25" customHeight="1">
      <c r="A2" s="983" t="s">
        <v>1903</v>
      </c>
    </row>
    <row r="4" spans="1:80" s="5" customFormat="1" ht="15" customHeight="1">
      <c r="C4" s="22"/>
      <c r="D4" s="43"/>
      <c r="E4" s="214"/>
    </row>
    <row r="6" spans="1:80" s="983" customFormat="1" ht="17.25" customHeight="1">
      <c r="A6" s="983" t="s">
        <v>1904</v>
      </c>
    </row>
    <row r="8" spans="1:80" s="5" customFormat="1" ht="17.25" customHeight="1">
      <c r="C8" s="984"/>
      <c r="D8" s="43"/>
      <c r="E8" s="36"/>
    </row>
    <row r="11" spans="1:80" s="983" customFormat="1" ht="17.25" customHeight="1">
      <c r="A11" s="983" t="s">
        <v>1905</v>
      </c>
    </row>
    <row r="13" spans="1:80" s="44" customFormat="1" ht="15" customHeight="1">
      <c r="A13" s="1261">
        <v>1</v>
      </c>
      <c r="B13" s="60"/>
      <c r="C13" s="459" t="s">
        <v>493</v>
      </c>
      <c r="D13" s="74"/>
      <c r="E13" s="40">
        <f>A13</f>
        <v>1</v>
      </c>
      <c r="F13" s="461"/>
      <c r="G13" s="302" t="str">
        <f>"Территория "&amp;E13</f>
        <v>Территория 1</v>
      </c>
      <c r="H13" s="451"/>
      <c r="I13" s="451"/>
      <c r="J13" s="66"/>
      <c r="K13" s="66"/>
      <c r="L13" s="66"/>
      <c r="M13" s="66"/>
      <c r="N13" s="66"/>
      <c r="O13" s="66"/>
      <c r="P13" s="123"/>
      <c r="Q13" s="123"/>
      <c r="R13" s="123"/>
      <c r="S13" s="123"/>
    </row>
    <row r="14" spans="1:80" ht="15" customHeight="1">
      <c r="A14" s="1261"/>
      <c r="B14" s="60">
        <v>1</v>
      </c>
      <c r="C14" s="60"/>
      <c r="D14" s="458"/>
      <c r="E14" s="444" t="str">
        <f>A13&amp;"."&amp;B14</f>
        <v>1.1</v>
      </c>
      <c r="F14" s="460">
        <f>$F$20</f>
        <v>0</v>
      </c>
      <c r="G14" s="452"/>
      <c r="H14" s="452"/>
      <c r="I14" s="450"/>
      <c r="J14" s="66"/>
      <c r="K14" s="65"/>
      <c r="L14" s="65"/>
      <c r="M14" s="66" t="str">
        <f t="array" ref="M14">IF(ISERROR(MATCH(MID(N14,1,250),MID(note_ter,1,250),0)),"n","y")</f>
        <v>n</v>
      </c>
      <c r="N14" s="65"/>
      <c r="O14" s="66" t="str">
        <f>H14&amp;"("&amp;I14&amp;")"</f>
        <v>()</v>
      </c>
      <c r="P14" s="60"/>
      <c r="Q14" s="60"/>
      <c r="R14" s="233"/>
      <c r="S14" s="60"/>
      <c r="T14" s="60"/>
      <c r="U14" s="60"/>
      <c r="V14" s="59"/>
      <c r="W14" s="59"/>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59"/>
      <c r="BT14" s="59"/>
      <c r="BU14" s="59"/>
      <c r="BV14" s="59"/>
      <c r="BW14" s="59"/>
      <c r="BX14" s="59"/>
      <c r="BY14" s="59"/>
      <c r="BZ14" s="59"/>
      <c r="CA14" s="59"/>
      <c r="CB14" s="59"/>
    </row>
    <row r="15" spans="1:80" ht="15" customHeight="1">
      <c r="A15" s="1261"/>
      <c r="B15" s="60"/>
      <c r="C15" s="232"/>
      <c r="D15" s="459"/>
      <c r="E15" s="234"/>
      <c r="F15" s="85"/>
      <c r="G15" s="107" t="s">
        <v>100</v>
      </c>
      <c r="H15" s="94"/>
      <c r="I15" s="235"/>
      <c r="J15" s="65"/>
      <c r="K15" s="65"/>
      <c r="L15" s="65"/>
      <c r="M15" s="65"/>
      <c r="N15" s="66"/>
      <c r="O15" s="65"/>
      <c r="P15" s="60"/>
      <c r="Q15" s="60"/>
      <c r="R15" s="233"/>
      <c r="S15" s="60"/>
      <c r="T15" s="60"/>
      <c r="U15" s="60"/>
      <c r="V15" s="59"/>
      <c r="W15" s="59"/>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59"/>
      <c r="BT15" s="59"/>
      <c r="BU15" s="59"/>
      <c r="BV15" s="59"/>
      <c r="BW15" s="59"/>
      <c r="BX15" s="59"/>
      <c r="BY15" s="59"/>
      <c r="BZ15" s="59"/>
      <c r="CA15" s="59"/>
      <c r="CB15" s="59"/>
    </row>
    <row r="17" spans="1:80" s="983" customFormat="1" ht="17.25" customHeight="1">
      <c r="A17" s="983" t="s">
        <v>1906</v>
      </c>
    </row>
    <row r="19" spans="1:80" ht="15" customHeight="1">
      <c r="A19" s="298"/>
      <c r="B19" s="60">
        <v>1</v>
      </c>
      <c r="C19" s="60"/>
      <c r="D19" s="458" t="s">
        <v>493</v>
      </c>
      <c r="E19" s="40"/>
      <c r="F19" s="1014">
        <f>$F$20</f>
        <v>0</v>
      </c>
      <c r="G19" s="1017"/>
      <c r="H19" s="1017"/>
      <c r="I19" s="1015"/>
      <c r="J19" s="66"/>
      <c r="K19" s="65"/>
      <c r="L19" s="65"/>
      <c r="M19" s="66" t="str">
        <f t="array" ref="M19">IF(ISERROR(MATCH(MID(N19,1,250),MID(note_ter,1,250),0)),"n","y")</f>
        <v>n</v>
      </c>
      <c r="N19" s="65"/>
      <c r="O19" s="66" t="str">
        <f>H19&amp;"("&amp;I19&amp;")"</f>
        <v>()</v>
      </c>
      <c r="P19" s="60"/>
      <c r="Q19" s="60"/>
      <c r="R19" s="233"/>
      <c r="S19" s="60"/>
      <c r="T19" s="60"/>
      <c r="U19" s="60"/>
      <c r="V19" s="59"/>
      <c r="W19" s="59"/>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59"/>
      <c r="BT19" s="59"/>
      <c r="BU19" s="59"/>
      <c r="BV19" s="59"/>
      <c r="BW19" s="59"/>
      <c r="BX19" s="59"/>
      <c r="BY19" s="59"/>
      <c r="BZ19" s="59"/>
      <c r="CA19" s="59"/>
      <c r="CB19" s="59"/>
    </row>
    <row r="21" spans="1:80" ht="15" customHeight="1">
      <c r="A21" s="983" t="s">
        <v>1907</v>
      </c>
      <c r="B21" s="983"/>
      <c r="C21" s="983"/>
      <c r="D21" s="983"/>
      <c r="E21" s="983"/>
      <c r="F21" s="983"/>
      <c r="G21" s="983"/>
      <c r="H21" s="983"/>
      <c r="I21" s="983"/>
      <c r="J21" s="983"/>
      <c r="K21" s="983"/>
      <c r="L21" s="983"/>
      <c r="M21" s="983"/>
      <c r="N21" s="983"/>
      <c r="O21" s="983"/>
      <c r="P21" s="983"/>
      <c r="Q21" s="983"/>
      <c r="R21" s="983"/>
      <c r="S21" s="983"/>
      <c r="T21" s="983"/>
      <c r="U21" s="92"/>
      <c r="V21" s="983"/>
      <c r="W21" s="983"/>
    </row>
    <row r="22" spans="1:80" ht="15" customHeight="1">
      <c r="U22" s="93"/>
    </row>
    <row r="23" spans="1:80" s="34" customFormat="1" ht="15" customHeight="1">
      <c r="A23"/>
      <c r="B23"/>
      <c r="C23" s="936" t="s">
        <v>493</v>
      </c>
      <c r="D23" s="1157" t="s">
        <v>107</v>
      </c>
      <c r="E23" s="1158"/>
      <c r="F23" s="1156" t="s">
        <v>19</v>
      </c>
      <c r="G23" s="1509"/>
      <c r="H23" s="1146">
        <v>1</v>
      </c>
      <c r="I23" s="1511" t="str">
        <f>IF(U23="","",INDEX(TERRITORY_MR_LIST,MATCH(U23,TERRITORY_LIST_ID,0)))</f>
        <v/>
      </c>
      <c r="J23" s="1156" t="s">
        <v>19</v>
      </c>
      <c r="K23" s="471"/>
      <c r="L23" s="42" t="s">
        <v>107</v>
      </c>
      <c r="M23" s="347"/>
      <c r="N23" s="79"/>
      <c r="O23" s="79"/>
      <c r="P23" s="79"/>
      <c r="Q23" s="79"/>
      <c r="R23" s="79"/>
      <c r="S23" s="79"/>
      <c r="T23" s="79"/>
      <c r="U23" s="348"/>
      <c r="V23" s="79"/>
      <c r="W23" s="79"/>
      <c r="X23" s="79"/>
      <c r="Y23" s="79" t="s">
        <v>116</v>
      </c>
      <c r="Z23" s="79">
        <v>1705000</v>
      </c>
      <c r="AA23" s="79"/>
      <c r="AB23" s="79"/>
      <c r="AC23" s="79"/>
      <c r="AD23" s="79"/>
      <c r="AE23" s="79"/>
      <c r="AF23" s="79"/>
      <c r="AG23" s="79"/>
      <c r="AH23" s="79"/>
      <c r="AI23" s="79"/>
      <c r="AJ23" s="79"/>
      <c r="AK23" s="79"/>
      <c r="AL23" s="79"/>
    </row>
    <row r="24" spans="1:80" s="34" customFormat="1" ht="15" customHeight="1">
      <c r="A24"/>
      <c r="B24"/>
      <c r="C24" s="84"/>
      <c r="D24" s="1157"/>
      <c r="E24" s="1159"/>
      <c r="F24" s="1156"/>
      <c r="G24" s="1510"/>
      <c r="H24" s="1146"/>
      <c r="I24" s="1512"/>
      <c r="J24" s="1156"/>
      <c r="K24" s="234"/>
      <c r="L24" s="85"/>
      <c r="M24" s="349" t="s">
        <v>117</v>
      </c>
      <c r="N24" s="79"/>
      <c r="O24" s="79"/>
      <c r="P24" s="79"/>
      <c r="Q24" s="79"/>
      <c r="R24" s="79"/>
      <c r="S24" s="79"/>
      <c r="T24" s="79"/>
      <c r="U24" s="348"/>
      <c r="V24" s="79"/>
      <c r="W24" s="79"/>
      <c r="X24" s="79"/>
      <c r="Y24" s="79"/>
      <c r="Z24" s="79"/>
      <c r="AA24" s="79"/>
      <c r="AB24" s="79"/>
      <c r="AC24" s="79"/>
      <c r="AD24" s="79"/>
      <c r="AE24" s="79"/>
      <c r="AF24" s="79"/>
      <c r="AG24" s="79"/>
      <c r="AH24" s="79"/>
      <c r="AI24" s="79"/>
      <c r="AJ24" s="79"/>
      <c r="AK24" s="79"/>
      <c r="AL24" s="79"/>
    </row>
    <row r="25" spans="1:80" s="34" customFormat="1" ht="15" customHeight="1">
      <c r="A25"/>
      <c r="B25"/>
      <c r="C25" s="84"/>
      <c r="D25" s="1157"/>
      <c r="E25" s="1160"/>
      <c r="F25" s="1156"/>
      <c r="G25" s="234"/>
      <c r="H25" s="85"/>
      <c r="I25" s="107" t="s">
        <v>118</v>
      </c>
      <c r="J25" s="85"/>
      <c r="K25" s="85"/>
      <c r="L25" s="85"/>
      <c r="M25" s="350"/>
      <c r="N25" s="79"/>
      <c r="O25" s="79"/>
      <c r="P25" s="79"/>
      <c r="Q25" s="79"/>
      <c r="R25" s="79"/>
      <c r="S25" s="79"/>
      <c r="T25" s="79"/>
      <c r="U25" s="348"/>
      <c r="V25" s="79"/>
      <c r="W25" s="79"/>
      <c r="X25" s="79"/>
      <c r="Y25" s="79"/>
      <c r="Z25" s="79"/>
      <c r="AA25" s="79"/>
      <c r="AB25" s="79"/>
      <c r="AC25" s="79"/>
      <c r="AD25" s="79"/>
      <c r="AE25" s="79"/>
      <c r="AF25" s="79"/>
      <c r="AG25" s="79"/>
      <c r="AH25" s="79"/>
      <c r="AI25" s="79"/>
      <c r="AJ25" s="79"/>
      <c r="AK25" s="79"/>
      <c r="AL25" s="79"/>
    </row>
    <row r="26" spans="1:80" ht="15" customHeight="1">
      <c r="U26" s="93"/>
    </row>
    <row r="27" spans="1:80" ht="15" customHeight="1">
      <c r="A27" s="983" t="s">
        <v>1908</v>
      </c>
      <c r="B27" s="983"/>
      <c r="C27" s="983"/>
      <c r="D27" s="983"/>
      <c r="E27" s="983"/>
      <c r="F27" s="983"/>
      <c r="G27" s="983"/>
      <c r="H27" s="983"/>
      <c r="I27" s="983"/>
      <c r="J27" s="983"/>
      <c r="K27" s="983"/>
      <c r="L27" s="983"/>
      <c r="M27" s="983"/>
      <c r="N27" s="983"/>
      <c r="O27" s="983"/>
      <c r="P27" s="983"/>
      <c r="Q27" s="983"/>
      <c r="R27" s="983"/>
      <c r="S27" s="983"/>
      <c r="T27" s="983"/>
      <c r="U27" s="92"/>
      <c r="V27" s="983"/>
      <c r="W27" s="983"/>
    </row>
    <row r="28" spans="1:80" ht="15" customHeight="1">
      <c r="U28" s="93"/>
    </row>
    <row r="29" spans="1:80" s="34" customFormat="1" ht="15" customHeight="1">
      <c r="A29"/>
      <c r="B29"/>
      <c r="C29" s="84"/>
      <c r="D29" s="433"/>
      <c r="E29" s="433"/>
      <c r="F29" s="433"/>
      <c r="G29" s="1513" t="s">
        <v>493</v>
      </c>
      <c r="H29" s="1127">
        <v>1</v>
      </c>
      <c r="I29" s="1514" t="str">
        <f>IF(U29="","",INDEX(TERRITORY_MR_LIST,MATCH(U29,TERRITORY_LIST_ID,0)))</f>
        <v/>
      </c>
      <c r="J29" s="1156" t="s">
        <v>19</v>
      </c>
      <c r="K29" s="471"/>
      <c r="L29" s="42" t="s">
        <v>107</v>
      </c>
      <c r="M29" s="347"/>
      <c r="N29" s="79"/>
      <c r="O29" s="79"/>
      <c r="P29" s="79"/>
      <c r="Q29" s="79"/>
      <c r="R29" s="79"/>
      <c r="S29" s="79"/>
      <c r="T29" s="79"/>
      <c r="U29" s="348"/>
      <c r="V29" s="79"/>
      <c r="W29" s="79"/>
      <c r="X29" s="79"/>
      <c r="Y29" s="79" t="s">
        <v>116</v>
      </c>
      <c r="Z29" s="79">
        <v>1705000</v>
      </c>
      <c r="AA29" s="79"/>
      <c r="AB29" s="79"/>
      <c r="AC29" s="79"/>
      <c r="AD29" s="79"/>
      <c r="AE29" s="79"/>
      <c r="AF29" s="79"/>
      <c r="AG29" s="79"/>
      <c r="AH29" s="79"/>
      <c r="AI29" s="79"/>
      <c r="AJ29" s="79"/>
      <c r="AK29" s="79"/>
      <c r="AL29" s="79"/>
    </row>
    <row r="30" spans="1:80" s="34" customFormat="1" ht="15" customHeight="1">
      <c r="A30"/>
      <c r="B30"/>
      <c r="C30" s="84"/>
      <c r="D30" s="433"/>
      <c r="E30" s="433"/>
      <c r="F30" s="433"/>
      <c r="G30" s="1513"/>
      <c r="H30" s="1127"/>
      <c r="I30" s="1514"/>
      <c r="J30" s="1156"/>
      <c r="K30" s="234"/>
      <c r="L30" s="85"/>
      <c r="M30" s="349" t="s">
        <v>117</v>
      </c>
      <c r="N30" s="79"/>
      <c r="O30" s="79"/>
      <c r="P30" s="79"/>
      <c r="Q30" s="79"/>
      <c r="R30" s="79"/>
      <c r="S30" s="79"/>
      <c r="T30" s="79"/>
      <c r="U30" s="348"/>
      <c r="V30" s="79"/>
      <c r="W30" s="79"/>
      <c r="X30" s="79"/>
      <c r="Y30" s="79"/>
      <c r="Z30" s="79"/>
      <c r="AA30" s="79"/>
      <c r="AB30" s="79"/>
      <c r="AC30" s="79"/>
      <c r="AD30" s="79"/>
      <c r="AE30" s="79"/>
      <c r="AF30" s="79"/>
      <c r="AG30" s="79"/>
      <c r="AH30" s="79"/>
      <c r="AI30" s="79"/>
      <c r="AJ30" s="79"/>
      <c r="AK30" s="79"/>
      <c r="AL30" s="79"/>
    </row>
    <row r="31" spans="1:80" ht="15" customHeight="1">
      <c r="U31" s="93"/>
    </row>
    <row r="32" spans="1:80" ht="15" customHeight="1">
      <c r="A32" s="983" t="s">
        <v>1909</v>
      </c>
      <c r="B32" s="983"/>
      <c r="C32" s="983"/>
      <c r="D32" s="983"/>
      <c r="E32" s="983"/>
      <c r="F32" s="983"/>
      <c r="G32" s="983"/>
      <c r="H32" s="983"/>
      <c r="I32" s="983"/>
      <c r="J32" s="983"/>
      <c r="K32" s="983"/>
      <c r="L32" s="983"/>
      <c r="M32" s="983"/>
      <c r="N32" s="983"/>
      <c r="O32" s="983"/>
      <c r="P32" s="983"/>
      <c r="Q32" s="983"/>
      <c r="R32" s="983"/>
      <c r="S32" s="983"/>
      <c r="T32" s="983"/>
      <c r="U32" s="92"/>
      <c r="V32" s="983"/>
      <c r="W32" s="983"/>
    </row>
    <row r="33" spans="1:38" ht="15" customHeight="1">
      <c r="U33" s="93"/>
    </row>
    <row r="34" spans="1:38" s="34" customFormat="1" ht="15" customHeight="1">
      <c r="A34"/>
      <c r="B34"/>
      <c r="C34" s="84"/>
      <c r="D34" s="433"/>
      <c r="E34" s="433"/>
      <c r="F34" s="433"/>
      <c r="G34" s="433"/>
      <c r="H34" s="433"/>
      <c r="I34" s="433"/>
      <c r="J34" s="433"/>
      <c r="K34" s="980" t="s">
        <v>493</v>
      </c>
      <c r="L34" s="937" t="s">
        <v>107</v>
      </c>
      <c r="M34" s="462"/>
      <c r="N34" s="463"/>
      <c r="O34" s="79"/>
      <c r="P34" s="79"/>
      <c r="Q34" s="79"/>
      <c r="R34" s="79"/>
      <c r="S34" s="79"/>
      <c r="T34" s="79"/>
      <c r="U34" s="348"/>
      <c r="V34" s="79"/>
      <c r="W34" s="79"/>
      <c r="X34" s="79"/>
      <c r="Y34" s="79" t="s">
        <v>116</v>
      </c>
      <c r="Z34" s="79">
        <v>1705000</v>
      </c>
      <c r="AA34" s="79"/>
      <c r="AB34" s="79"/>
      <c r="AC34" s="79"/>
      <c r="AD34" s="79"/>
      <c r="AE34" s="79"/>
      <c r="AF34" s="79"/>
      <c r="AG34" s="79"/>
      <c r="AH34" s="79"/>
      <c r="AI34" s="79"/>
      <c r="AJ34" s="79"/>
      <c r="AK34" s="79"/>
      <c r="AL34" s="79"/>
    </row>
    <row r="35" spans="1:38" ht="15" customHeight="1">
      <c r="U35" s="93"/>
    </row>
    <row r="36" spans="1:38" ht="15" customHeight="1">
      <c r="U36" s="93"/>
    </row>
    <row r="37" spans="1:38" s="983" customFormat="1" ht="11.25" customHeight="1">
      <c r="A37" s="983" t="s">
        <v>1910</v>
      </c>
    </row>
    <row r="38" spans="1:38" ht="11.25" customHeight="1"/>
    <row r="39" spans="1:38" s="251" customFormat="1" ht="22.5" customHeight="1">
      <c r="A39" s="492"/>
      <c r="B39" s="9"/>
      <c r="C39" s="493"/>
      <c r="D39" s="244"/>
      <c r="E39" s="494"/>
      <c r="F39" s="904"/>
      <c r="G39" s="433"/>
      <c r="H39" s="267"/>
    </row>
    <row r="40" spans="1:38" ht="11.25" customHeight="1"/>
    <row r="41" spans="1:38" s="983" customFormat="1" ht="11.25" customHeight="1">
      <c r="A41" s="983" t="s">
        <v>1911</v>
      </c>
    </row>
    <row r="42" spans="1:38" ht="11.25" customHeight="1"/>
    <row r="43" spans="1:38" s="251" customFormat="1" ht="22.5" customHeight="1">
      <c r="A43" s="9"/>
      <c r="B43" s="9"/>
      <c r="C43" s="9"/>
      <c r="D43" s="244"/>
      <c r="E43" s="494"/>
      <c r="F43" s="398"/>
      <c r="G43" s="433"/>
      <c r="H43" s="267"/>
    </row>
    <row r="44" spans="1:38" ht="11.25" customHeight="1"/>
    <row r="45" spans="1:38" s="983" customFormat="1" ht="11.25" customHeight="1">
      <c r="A45" s="983" t="s">
        <v>1912</v>
      </c>
    </row>
    <row r="46" spans="1:38" ht="11.25" customHeight="1"/>
    <row r="47" spans="1:38" s="251" customFormat="1" ht="24" customHeight="1">
      <c r="A47" s="1237" t="s">
        <v>313</v>
      </c>
      <c r="B47" s="286"/>
      <c r="C47" s="1248"/>
      <c r="D47" s="248" t="str">
        <f>A47</f>
        <v>5.1</v>
      </c>
      <c r="E47" s="246" t="s">
        <v>314</v>
      </c>
      <c r="F47" s="38" t="s">
        <v>306</v>
      </c>
      <c r="G47" s="247" t="s">
        <v>315</v>
      </c>
      <c r="H47" s="267"/>
      <c r="I47" s="486"/>
    </row>
    <row r="48" spans="1:38" s="251" customFormat="1" ht="22.5" customHeight="1">
      <c r="A48" s="1237"/>
      <c r="B48" s="286"/>
      <c r="C48" s="1248"/>
      <c r="D48" s="244" t="str">
        <f>D47&amp;".1"</f>
        <v>5.1.1</v>
      </c>
      <c r="E48" s="243" t="s">
        <v>316</v>
      </c>
      <c r="F48" s="245" t="s">
        <v>28</v>
      </c>
      <c r="G48" s="266"/>
      <c r="H48" s="267"/>
      <c r="I48" s="486"/>
    </row>
    <row r="49" spans="1:45" s="251" customFormat="1" ht="22.5" customHeight="1">
      <c r="A49" s="1237"/>
      <c r="B49" s="286"/>
      <c r="C49" s="1248"/>
      <c r="D49" s="244" t="str">
        <f>D47&amp;".2"</f>
        <v>5.1.2</v>
      </c>
      <c r="E49" s="243" t="s">
        <v>317</v>
      </c>
      <c r="F49" s="940" t="s">
        <v>28</v>
      </c>
      <c r="G49" s="247" t="s">
        <v>318</v>
      </c>
      <c r="H49" s="267"/>
      <c r="I49" s="486"/>
    </row>
    <row r="50" spans="1:45" s="251" customFormat="1" ht="22.5" customHeight="1">
      <c r="A50" s="1237"/>
      <c r="B50" s="286"/>
      <c r="C50" s="1248"/>
      <c r="D50" s="244" t="str">
        <f>D47&amp;".3"</f>
        <v>5.1.3</v>
      </c>
      <c r="E50" s="243" t="s">
        <v>319</v>
      </c>
      <c r="F50" s="245" t="s">
        <v>28</v>
      </c>
      <c r="G50" s="266"/>
      <c r="H50" s="267"/>
      <c r="I50" s="486"/>
    </row>
    <row r="51" spans="1:45" s="251" customFormat="1" ht="22.5" customHeight="1">
      <c r="A51" s="1237"/>
      <c r="B51" s="286"/>
      <c r="C51" s="1248"/>
      <c r="D51" s="244" t="str">
        <f>D47&amp;".4"</f>
        <v>5.1.4</v>
      </c>
      <c r="E51" s="243" t="s">
        <v>320</v>
      </c>
      <c r="F51" s="245" t="s">
        <v>28</v>
      </c>
      <c r="G51" s="247" t="s">
        <v>321</v>
      </c>
      <c r="H51" s="267"/>
      <c r="I51" s="486"/>
    </row>
    <row r="54" spans="1:45" s="983" customFormat="1" ht="17.25" customHeight="1">
      <c r="A54" s="983" t="s">
        <v>1913</v>
      </c>
    </row>
    <row r="56" spans="1:45" s="133" customFormat="1" ht="18.75" customHeight="1">
      <c r="A56"/>
      <c r="B56" s="33"/>
      <c r="C56" s="33"/>
      <c r="D56" s="499"/>
      <c r="E56" s="981"/>
      <c r="F56" s="501">
        <v>13</v>
      </c>
      <c r="G56" s="500"/>
      <c r="H56" s="452"/>
      <c r="I56" s="450"/>
      <c r="J56" s="293" t="s">
        <v>64</v>
      </c>
      <c r="K56" s="985" t="s">
        <v>28</v>
      </c>
      <c r="L56"/>
      <c r="M56" s="65"/>
      <c r="N56" s="65"/>
      <c r="O56" s="65"/>
      <c r="P56" s="290" t="s">
        <v>392</v>
      </c>
      <c r="Q56" s="290" t="s">
        <v>393</v>
      </c>
      <c r="R56" s="291" t="s">
        <v>394</v>
      </c>
      <c r="S56" s="65" t="s">
        <v>395</v>
      </c>
      <c r="T56" s="65"/>
      <c r="U56" s="65"/>
      <c r="V56" s="65"/>
    </row>
    <row r="58" spans="1:45" s="983" customFormat="1" ht="11.25" customHeight="1">
      <c r="A58" s="983" t="s">
        <v>1914</v>
      </c>
    </row>
    <row r="60" spans="1:45" s="10" customFormat="1" ht="14.25" customHeight="1">
      <c r="C60" s="22"/>
      <c r="D60" s="239"/>
      <c r="E60" s="399" t="s">
        <v>28</v>
      </c>
      <c r="F60" s="489"/>
      <c r="G60" s="490"/>
      <c r="H60" s="363"/>
      <c r="I60" s="363"/>
      <c r="J60" s="238"/>
      <c r="K60" s="1006"/>
      <c r="L60" s="237"/>
      <c r="M60" s="1006"/>
      <c r="N60" s="238"/>
      <c r="O60" s="1006"/>
      <c r="P60" s="238"/>
      <c r="Q60" s="1006"/>
      <c r="R60" s="238"/>
      <c r="S60" s="488"/>
      <c r="T60" s="363"/>
      <c r="U60" s="238"/>
      <c r="V60" s="238"/>
      <c r="W60" s="470"/>
      <c r="X60" s="363"/>
      <c r="Y60" s="238"/>
      <c r="Z60" s="238"/>
      <c r="AA60" s="470"/>
      <c r="AB60" s="363"/>
      <c r="AC60" s="238"/>
      <c r="AD60" s="470"/>
      <c r="AE60"/>
      <c r="AF60"/>
      <c r="AG60"/>
      <c r="AH60"/>
      <c r="AJ60" s="65"/>
      <c r="AK60" s="65"/>
      <c r="AL60" s="65"/>
      <c r="AM60" s="65"/>
      <c r="AN60" s="65"/>
      <c r="AO60" s="65"/>
      <c r="AP60" s="66" t="s">
        <v>381</v>
      </c>
      <c r="AQ60" s="66" t="s">
        <v>381</v>
      </c>
      <c r="AR60" s="65"/>
      <c r="AS60" s="65"/>
    </row>
    <row r="62" spans="1:45" s="983" customFormat="1" ht="11.25" customHeight="1">
      <c r="A62" s="983" t="s">
        <v>1915</v>
      </c>
    </row>
    <row r="64" spans="1:45" s="33" customFormat="1" ht="15" customHeight="1">
      <c r="A64" s="59" t="s">
        <v>88</v>
      </c>
      <c r="B64" s="33" t="s">
        <v>28</v>
      </c>
      <c r="C64" s="49"/>
      <c r="D64" s="42"/>
      <c r="E64" s="214"/>
      <c r="F64" s="214"/>
      <c r="G64" s="942"/>
      <c r="H64" s="985"/>
      <c r="I64" s="364"/>
      <c r="K64" s="157"/>
      <c r="L64" s="101"/>
    </row>
    <row r="66" spans="1:30" s="983" customFormat="1" ht="11.25" customHeight="1">
      <c r="A66" s="983" t="s">
        <v>1916</v>
      </c>
    </row>
    <row r="68" spans="1:30" s="10" customFormat="1" ht="14.25" customHeight="1">
      <c r="A68" s="33"/>
      <c r="B68" s="60"/>
      <c r="C68" s="27"/>
      <c r="D68" s="61"/>
      <c r="E68" s="508"/>
      <c r="F68" s="985"/>
      <c r="G68"/>
      <c r="I68" s="66"/>
      <c r="J68" s="66"/>
    </row>
    <row r="70" spans="1:30" s="983" customFormat="1" ht="11.25" customHeight="1">
      <c r="A70" s="983" t="s">
        <v>1917</v>
      </c>
    </row>
    <row r="72" spans="1:30" s="10" customFormat="1" ht="27" customHeight="1">
      <c r="A72" s="300"/>
      <c r="B72" s="300"/>
      <c r="C72" s="300"/>
      <c r="D72" s="60"/>
      <c r="E72" s="986"/>
      <c r="F72" s="1477"/>
      <c r="G72" s="1478"/>
      <c r="H72" s="1479" t="s">
        <v>64</v>
      </c>
      <c r="I72" s="1481"/>
      <c r="J72" s="1483"/>
      <c r="K72" s="1485"/>
      <c r="L72" s="1496"/>
      <c r="M72" s="1496"/>
      <c r="N72" s="1517"/>
      <c r="O72" s="1517"/>
      <c r="P72" s="1518" t="e">
        <f>DATEDIF(DATEVALUE(N72),DATEVALUE(O72),"y")&amp;"г. "&amp;DATEDIF(DATEVALUE(N72),DATEVALUE(O72),"ym")&amp;"мес. "&amp;DATEVALUE(O72)-DATE(YEAR(DATEVALUE(O72)),MONTH(DATEVALUE(O72)),1)&amp;"дн. "</f>
        <v>#VALUE!</v>
      </c>
      <c r="Q72" s="1497"/>
      <c r="R72" s="1497"/>
      <c r="S72" s="1497"/>
      <c r="T72" s="1483"/>
      <c r="U72" s="1497"/>
      <c r="V72" s="1497"/>
      <c r="W72" s="1497"/>
      <c r="X72" s="1483"/>
      <c r="Y72" s="1515" t="s">
        <v>64</v>
      </c>
      <c r="Z72" s="860"/>
      <c r="AA72" s="40">
        <v>1</v>
      </c>
      <c r="AB72" s="716"/>
      <c r="AD72" s="65" t="s">
        <v>1918</v>
      </c>
    </row>
    <row r="73" spans="1:30" s="10" customFormat="1" ht="10.5" customHeight="1">
      <c r="A73" s="300"/>
      <c r="B73" s="300"/>
      <c r="C73" s="300"/>
      <c r="D73" s="60"/>
      <c r="E73" s="541"/>
      <c r="F73" s="1477"/>
      <c r="G73" s="1478"/>
      <c r="H73" s="1480"/>
      <c r="I73" s="1482"/>
      <c r="J73" s="1484"/>
      <c r="K73" s="1485"/>
      <c r="L73" s="1496"/>
      <c r="M73" s="1496"/>
      <c r="N73" s="1517"/>
      <c r="O73" s="1517"/>
      <c r="P73" s="1518"/>
      <c r="Q73" s="1497"/>
      <c r="R73" s="1497"/>
      <c r="S73" s="1497"/>
      <c r="T73" s="1484"/>
      <c r="U73" s="1497"/>
      <c r="V73" s="1497"/>
      <c r="W73" s="1497"/>
      <c r="X73" s="1484"/>
      <c r="Y73" s="1516"/>
      <c r="Z73" s="39"/>
      <c r="AA73" s="331"/>
      <c r="AB73" s="349" t="s">
        <v>1919</v>
      </c>
    </row>
    <row r="75" spans="1:30" s="983" customFormat="1" ht="11.25" customHeight="1">
      <c r="A75" s="983" t="s">
        <v>1920</v>
      </c>
    </row>
    <row r="77" spans="1:30" s="10" customFormat="1" ht="27" customHeight="1">
      <c r="A77" s="300"/>
      <c r="B77" s="300"/>
      <c r="C77" s="300"/>
      <c r="D77" s="60"/>
      <c r="E77" s="986"/>
      <c r="F77" s="979"/>
      <c r="G77" s="955"/>
      <c r="H77" s="956"/>
      <c r="I77" s="957"/>
      <c r="J77" s="958"/>
      <c r="K77" s="959"/>
      <c r="L77" s="960"/>
      <c r="M77" s="960"/>
      <c r="N77" s="961"/>
      <c r="O77" s="961"/>
      <c r="P77" s="962"/>
      <c r="Q77" s="963"/>
      <c r="R77" s="963"/>
      <c r="S77" s="963"/>
      <c r="T77" s="958"/>
      <c r="U77" s="963"/>
      <c r="V77" s="963"/>
      <c r="W77" s="963"/>
      <c r="X77" s="958"/>
      <c r="Y77" s="956"/>
      <c r="Z77" s="860"/>
      <c r="AA77" s="40">
        <v>1</v>
      </c>
      <c r="AB77" s="716"/>
      <c r="AD77" s="65" t="s">
        <v>1918</v>
      </c>
    </row>
    <row r="79" spans="1:30" s="983" customFormat="1" ht="11.25" customHeight="1">
      <c r="A79" s="983" t="s">
        <v>1921</v>
      </c>
    </row>
    <row r="80" spans="1:30" ht="17.25" customHeight="1"/>
    <row r="81" spans="1:58" s="10" customFormat="1" ht="21" customHeight="1">
      <c r="A81" s="310"/>
      <c r="B81" s="300"/>
      <c r="C81" s="300"/>
      <c r="D81" s="60"/>
      <c r="E81" s="9"/>
      <c r="F81" s="662" t="e">
        <f>INDEX(IP_MAIN_LIST_NAME_IP,MATCH(A81,IP_MAIN_LIST_IP_ID,0))&amp;" ("&amp;INDEX(IP_MAIN_START_DATE,MATCH(A81,IP_MAIN_LIST_IP_ID,0))&amp;"-"&amp;INDEX(IP_MAIN_END_DATE,MATCH(A81,IP_MAIN_LIST_IP_ID,0))&amp;")"</f>
        <v>#N/A</v>
      </c>
      <c r="G81" s="663"/>
      <c r="H81" s="663"/>
      <c r="I81" s="680"/>
      <c r="J81" s="680"/>
      <c r="K81" s="681"/>
      <c r="L81" s="681"/>
      <c r="M81" s="681"/>
      <c r="N81" s="682"/>
      <c r="O81" s="682"/>
      <c r="P81" s="682"/>
      <c r="Q81" s="682"/>
      <c r="R81" s="682"/>
      <c r="S81" s="682"/>
      <c r="T81" s="682"/>
      <c r="U81" s="682"/>
      <c r="V81" s="682"/>
      <c r="W81" s="682"/>
      <c r="X81" s="682"/>
      <c r="Y81" s="682"/>
      <c r="Z81" s="682"/>
      <c r="AA81" s="682"/>
      <c r="AB81" s="682"/>
      <c r="AC81" s="682"/>
      <c r="AD81" s="682"/>
      <c r="AE81" s="683"/>
      <c r="AF81" s="681"/>
      <c r="AG81" s="681"/>
      <c r="AH81" s="681"/>
      <c r="AI81" s="681"/>
      <c r="AJ81" s="681"/>
      <c r="AK81" s="681"/>
      <c r="AL81" s="711"/>
      <c r="AM81" s="33"/>
      <c r="AN81" s="33"/>
      <c r="AO81" s="33"/>
      <c r="AP81" s="33"/>
      <c r="AQ81" s="33"/>
      <c r="AR81" s="33"/>
      <c r="AS81" s="33"/>
      <c r="AT81" s="33"/>
      <c r="AU81" s="33"/>
      <c r="AV81" s="33"/>
      <c r="AW81" s="33"/>
      <c r="AX81" s="33"/>
      <c r="AY81" s="33"/>
      <c r="AZ81" s="33"/>
      <c r="BA81" s="33"/>
      <c r="BB81" s="33"/>
      <c r="BC81" s="33"/>
      <c r="BD81" s="33"/>
      <c r="BE81" s="33"/>
      <c r="BF81" s="33"/>
    </row>
    <row r="82" spans="1:58" s="10" customFormat="1" ht="0.75" customHeight="1">
      <c r="A82" s="300"/>
      <c r="B82" s="300"/>
      <c r="C82" s="300"/>
      <c r="D82" s="60"/>
      <c r="E82" s="9"/>
      <c r="F82" s="1521"/>
      <c r="G82" s="1435"/>
      <c r="H82" s="1524" t="s">
        <v>376</v>
      </c>
      <c r="I82" s="1525"/>
      <c r="J82" s="1489"/>
      <c r="K82" s="1489"/>
      <c r="L82" s="1519"/>
      <c r="M82" s="1280"/>
      <c r="N82" s="1069"/>
      <c r="O82" s="1068"/>
      <c r="P82" s="1069"/>
      <c r="Q82" s="1069"/>
      <c r="R82" s="1069"/>
      <c r="S82" s="1069"/>
      <c r="T82" s="1069"/>
      <c r="U82" s="1069"/>
      <c r="V82" s="1069"/>
      <c r="W82" s="1069"/>
      <c r="X82" s="1069"/>
      <c r="Y82" s="1069"/>
      <c r="Z82" s="1069"/>
      <c r="AA82" s="1069"/>
      <c r="AB82" s="1069"/>
      <c r="AC82" s="1069"/>
      <c r="AD82" s="1069"/>
      <c r="AE82" s="1069"/>
      <c r="AF82" s="1523"/>
      <c r="AG82" s="1519"/>
      <c r="AH82" s="1519"/>
      <c r="AI82" s="1523"/>
      <c r="AJ82" s="1519"/>
      <c r="AK82" s="1519"/>
      <c r="AL82" s="711"/>
      <c r="AM82" s="33"/>
      <c r="AN82" s="33"/>
      <c r="AO82" s="33"/>
      <c r="AP82" s="33"/>
      <c r="AQ82" s="33"/>
      <c r="AR82" s="33"/>
      <c r="AS82" s="33"/>
      <c r="AT82" s="33"/>
      <c r="AU82" s="33"/>
      <c r="AV82" s="33"/>
      <c r="AW82" s="33"/>
      <c r="AX82" s="33"/>
      <c r="AY82" s="33"/>
      <c r="AZ82" s="33"/>
      <c r="BA82" s="33"/>
      <c r="BB82" s="33"/>
      <c r="BC82" s="33"/>
      <c r="BD82" s="33"/>
      <c r="BE82" s="33"/>
      <c r="BF82" s="33"/>
    </row>
    <row r="83" spans="1:58" s="10" customFormat="1" ht="0.75" customHeight="1">
      <c r="A83" s="300"/>
      <c r="B83" s="300"/>
      <c r="C83" s="300"/>
      <c r="D83" s="60"/>
      <c r="E83" s="9"/>
      <c r="F83" s="1521"/>
      <c r="G83" s="1435"/>
      <c r="H83" s="1524"/>
      <c r="I83" s="1525"/>
      <c r="J83" s="1489"/>
      <c r="K83" s="1489"/>
      <c r="L83" s="1519"/>
      <c r="M83" s="1280"/>
      <c r="N83" s="1526"/>
      <c r="O83" s="1527"/>
      <c r="P83" s="1486"/>
      <c r="Q83" s="1489"/>
      <c r="R83" s="1489"/>
      <c r="S83" s="1489"/>
      <c r="T83" s="1489"/>
      <c r="U83" s="1489"/>
      <c r="V83" s="1489"/>
      <c r="W83" s="1489"/>
      <c r="X83" s="1489"/>
      <c r="Y83" s="1489"/>
      <c r="Z83" s="1070"/>
      <c r="AA83" s="1071"/>
      <c r="AB83" s="1071"/>
      <c r="AC83" s="1072"/>
      <c r="AD83" s="1072"/>
      <c r="AE83" s="1073"/>
      <c r="AF83" s="1523"/>
      <c r="AG83" s="1519"/>
      <c r="AH83" s="1519"/>
      <c r="AI83" s="1523"/>
      <c r="AJ83" s="1519"/>
      <c r="AK83" s="1519"/>
      <c r="AL83" s="711"/>
      <c r="AM83" s="33"/>
      <c r="AN83" s="33"/>
      <c r="AO83" s="33"/>
      <c r="AP83" s="33"/>
      <c r="AQ83" s="33"/>
      <c r="AR83" s="33"/>
      <c r="AS83" s="33"/>
      <c r="AT83" s="33"/>
      <c r="AU83" s="33"/>
      <c r="AV83" s="33"/>
      <c r="AW83" s="33"/>
      <c r="AX83" s="33"/>
      <c r="AY83" s="33"/>
      <c r="AZ83" s="33"/>
      <c r="BA83" s="33"/>
      <c r="BB83" s="33"/>
      <c r="BC83" s="33"/>
      <c r="BD83" s="33"/>
      <c r="BE83" s="33"/>
      <c r="BF83" s="33"/>
    </row>
    <row r="84" spans="1:58" s="10" customFormat="1" ht="0.75" customHeight="1">
      <c r="A84" s="300"/>
      <c r="B84" s="300"/>
      <c r="C84" s="300"/>
      <c r="D84" s="60"/>
      <c r="E84" s="9"/>
      <c r="F84" s="1521"/>
      <c r="G84" s="1435"/>
      <c r="H84" s="1524"/>
      <c r="I84" s="1525"/>
      <c r="J84" s="1489"/>
      <c r="K84" s="1489"/>
      <c r="L84" s="1519"/>
      <c r="M84" s="1280"/>
      <c r="N84" s="1526"/>
      <c r="O84" s="1527"/>
      <c r="P84" s="1487"/>
      <c r="Q84" s="1489"/>
      <c r="R84" s="1489"/>
      <c r="S84" s="1489"/>
      <c r="T84" s="1489"/>
      <c r="U84" s="1489"/>
      <c r="V84" s="1489"/>
      <c r="W84" s="1489"/>
      <c r="X84" s="1489"/>
      <c r="Y84" s="1489"/>
      <c r="Z84" s="1074"/>
      <c r="AA84" s="1075"/>
      <c r="AB84" s="1076"/>
      <c r="AC84" s="1077"/>
      <c r="AD84" s="1076"/>
      <c r="AE84" s="1077"/>
      <c r="AF84" s="1523"/>
      <c r="AG84" s="1519"/>
      <c r="AH84" s="1519"/>
      <c r="AI84" s="1523"/>
      <c r="AJ84" s="1519"/>
      <c r="AK84" s="1519"/>
      <c r="AL84" s="711"/>
      <c r="AM84" s="33"/>
      <c r="AN84" s="33"/>
      <c r="AO84" s="33"/>
      <c r="AP84" s="33"/>
      <c r="AQ84" s="33"/>
      <c r="AR84" s="33"/>
      <c r="AS84" s="33"/>
      <c r="AT84" s="33"/>
      <c r="AU84" s="33"/>
      <c r="AV84" s="33"/>
      <c r="AW84" s="33"/>
      <c r="AX84" s="33"/>
      <c r="AY84" s="33"/>
      <c r="AZ84" s="33"/>
      <c r="BA84" s="33"/>
      <c r="BB84" s="33"/>
      <c r="BC84" s="33"/>
      <c r="BD84" s="33"/>
      <c r="BE84" s="33"/>
      <c r="BF84" s="33"/>
    </row>
    <row r="85" spans="1:58" s="10" customFormat="1" ht="0.75" customHeight="1">
      <c r="A85" s="300"/>
      <c r="B85" s="300"/>
      <c r="C85" s="300"/>
      <c r="D85" s="60"/>
      <c r="E85" s="9"/>
      <c r="F85" s="1521"/>
      <c r="G85" s="1435"/>
      <c r="H85" s="1524"/>
      <c r="I85" s="1525"/>
      <c r="J85" s="1489"/>
      <c r="K85" s="1489"/>
      <c r="L85" s="1519"/>
      <c r="M85" s="1280"/>
      <c r="N85" s="1526"/>
      <c r="O85" s="1527"/>
      <c r="P85" s="1488"/>
      <c r="Q85" s="1489"/>
      <c r="R85" s="1489"/>
      <c r="S85" s="1489"/>
      <c r="T85" s="1489"/>
      <c r="U85" s="1489"/>
      <c r="V85" s="1489"/>
      <c r="W85" s="1489"/>
      <c r="X85" s="1489"/>
      <c r="Y85" s="1489"/>
      <c r="Z85" s="1070"/>
      <c r="AA85" s="1071"/>
      <c r="AB85" s="1078"/>
      <c r="AC85" s="1072"/>
      <c r="AD85" s="1072"/>
      <c r="AE85" s="1079"/>
      <c r="AF85" s="1523"/>
      <c r="AG85" s="1519"/>
      <c r="AH85" s="1519"/>
      <c r="AI85" s="1523"/>
      <c r="AJ85" s="1519"/>
      <c r="AK85" s="1519"/>
      <c r="AL85" s="711"/>
      <c r="AM85" s="33"/>
      <c r="AN85" s="33"/>
      <c r="AO85" s="33"/>
      <c r="AP85" s="33"/>
      <c r="AQ85" s="33"/>
      <c r="AR85" s="33"/>
      <c r="AS85" s="33"/>
      <c r="AT85" s="33"/>
      <c r="AU85" s="33"/>
      <c r="AV85" s="33"/>
      <c r="AW85" s="33"/>
      <c r="AX85" s="33"/>
      <c r="AY85" s="33"/>
      <c r="AZ85" s="33"/>
      <c r="BA85" s="33"/>
      <c r="BB85" s="33"/>
      <c r="BC85" s="33"/>
      <c r="BD85" s="33"/>
      <c r="BE85" s="33"/>
      <c r="BF85" s="33"/>
    </row>
    <row r="86" spans="1:58" s="10" customFormat="1" ht="0.75" customHeight="1">
      <c r="A86" s="300"/>
      <c r="B86" s="300"/>
      <c r="C86" s="300"/>
      <c r="D86" s="60"/>
      <c r="E86" s="9"/>
      <c r="F86" s="1521"/>
      <c r="G86" s="1435"/>
      <c r="H86" s="1524"/>
      <c r="I86" s="1525"/>
      <c r="J86" s="1489"/>
      <c r="K86" s="1489"/>
      <c r="L86" s="1519"/>
      <c r="M86" s="1280"/>
      <c r="N86" s="1071"/>
      <c r="O86" s="1071"/>
      <c r="P86" s="1078"/>
      <c r="Q86" s="1071"/>
      <c r="R86" s="1071"/>
      <c r="S86" s="1071"/>
      <c r="T86" s="1071"/>
      <c r="U86" s="1071"/>
      <c r="V86" s="1071"/>
      <c r="W86" s="1071"/>
      <c r="X86" s="1071"/>
      <c r="Y86" s="1071"/>
      <c r="Z86" s="1071"/>
      <c r="AA86" s="1071"/>
      <c r="AB86" s="1071"/>
      <c r="AC86" s="1071"/>
      <c r="AD86" s="1071"/>
      <c r="AE86" s="1080"/>
      <c r="AF86" s="1523"/>
      <c r="AG86" s="1519"/>
      <c r="AH86" s="1519"/>
      <c r="AI86" s="1523"/>
      <c r="AJ86" s="1519"/>
      <c r="AK86" s="1519"/>
      <c r="AL86" s="711"/>
      <c r="AM86" s="33"/>
      <c r="AN86" s="33"/>
      <c r="AO86" s="33"/>
      <c r="AP86" s="33"/>
      <c r="AQ86" s="33"/>
      <c r="AR86" s="33"/>
      <c r="AS86" s="33"/>
      <c r="AT86" s="33"/>
      <c r="AU86" s="33"/>
      <c r="AV86" s="33"/>
      <c r="AW86" s="33"/>
      <c r="AX86" s="33"/>
      <c r="AY86" s="33"/>
      <c r="AZ86" s="33"/>
      <c r="BA86" s="33"/>
      <c r="BB86" s="33"/>
      <c r="BC86" s="33"/>
      <c r="BD86" s="33"/>
      <c r="BE86" s="33"/>
      <c r="BF86" s="33"/>
    </row>
    <row r="87" spans="1:58" s="10" customFormat="1" ht="12" customHeight="1">
      <c r="A87" s="300"/>
      <c r="B87" s="300"/>
      <c r="C87" s="300"/>
      <c r="D87" s="60"/>
      <c r="E87" s="9"/>
      <c r="F87" s="1522"/>
      <c r="G87" s="684"/>
      <c r="H87" s="684"/>
      <c r="I87" s="1520" t="s">
        <v>1922</v>
      </c>
      <c r="J87" s="1520"/>
      <c r="K87" s="1520"/>
      <c r="L87" s="669"/>
      <c r="M87" s="669"/>
      <c r="N87" s="670"/>
      <c r="O87" s="670"/>
      <c r="P87" s="670"/>
      <c r="Q87" s="670"/>
      <c r="R87" s="670"/>
      <c r="S87" s="670"/>
      <c r="T87" s="670"/>
      <c r="U87" s="670"/>
      <c r="V87" s="670"/>
      <c r="W87" s="670"/>
      <c r="X87" s="670"/>
      <c r="Y87" s="670"/>
      <c r="Z87" s="670"/>
      <c r="AA87" s="670"/>
      <c r="AB87" s="670"/>
      <c r="AC87" s="670"/>
      <c r="AD87" s="670"/>
      <c r="AE87" s="670"/>
      <c r="AF87" s="670"/>
      <c r="AG87" s="669"/>
      <c r="AH87" s="669"/>
      <c r="AI87" s="670"/>
      <c r="AJ87" s="669"/>
      <c r="AK87" s="670"/>
      <c r="AL87" s="711"/>
      <c r="AM87" s="33"/>
      <c r="AN87" s="33"/>
      <c r="AO87" s="33"/>
      <c r="AP87" s="33"/>
      <c r="AQ87" s="33"/>
      <c r="AR87" s="33"/>
      <c r="AS87" s="33"/>
      <c r="AT87" s="33"/>
      <c r="AU87" s="33"/>
      <c r="AV87" s="33"/>
      <c r="AW87" s="33"/>
      <c r="AX87" s="33"/>
      <c r="AY87" s="33"/>
      <c r="AZ87" s="33"/>
      <c r="BA87" s="33"/>
      <c r="BB87" s="33"/>
      <c r="BC87" s="33"/>
      <c r="BD87" s="33"/>
      <c r="BE87" s="33"/>
      <c r="BF87" s="33"/>
    </row>
    <row r="89" spans="1:58" s="983" customFormat="1" ht="11.25" customHeight="1">
      <c r="A89" s="983" t="s">
        <v>1923</v>
      </c>
    </row>
    <row r="91" spans="1:58" s="10" customFormat="1" ht="11.25" customHeight="1">
      <c r="A91" s="300"/>
      <c r="B91" s="300"/>
      <c r="C91" s="300"/>
      <c r="D91" s="60"/>
      <c r="E91" s="9"/>
      <c r="F91" s="988"/>
      <c r="G91" s="989"/>
      <c r="H91" s="989"/>
      <c r="I91" s="872"/>
      <c r="J91" s="872"/>
      <c r="K91" s="990"/>
      <c r="L91" s="872"/>
      <c r="M91" s="989"/>
      <c r="N91" s="1490"/>
      <c r="O91" s="1491">
        <v>1</v>
      </c>
      <c r="P91" s="1492" t="s">
        <v>19</v>
      </c>
      <c r="Q91" s="1399" t="s">
        <v>28</v>
      </c>
      <c r="R91" s="1399" t="s">
        <v>28</v>
      </c>
      <c r="S91" s="1399" t="s">
        <v>28</v>
      </c>
      <c r="T91" s="1399" t="s">
        <v>28</v>
      </c>
      <c r="U91" s="1399" t="s">
        <v>28</v>
      </c>
      <c r="V91" s="1399" t="s">
        <v>28</v>
      </c>
      <c r="W91" s="1399" t="s">
        <v>28</v>
      </c>
      <c r="X91" s="1399" t="s">
        <v>28</v>
      </c>
      <c r="Y91" s="1399"/>
      <c r="Z91" s="671"/>
      <c r="AA91" s="672"/>
      <c r="AB91" s="672"/>
      <c r="AC91" s="676"/>
      <c r="AD91" s="676"/>
      <c r="AE91" s="676"/>
      <c r="AF91" s="991"/>
      <c r="AG91" s="966"/>
      <c r="AH91" s="966"/>
      <c r="AI91" s="991"/>
      <c r="AJ91" s="966"/>
      <c r="AK91" s="1056"/>
      <c r="AL91" s="711"/>
      <c r="AM91" s="33"/>
      <c r="AN91" s="33"/>
      <c r="AO91" s="33"/>
      <c r="AP91" s="33"/>
      <c r="AQ91" s="33"/>
      <c r="AR91" s="33"/>
      <c r="AS91" s="33"/>
      <c r="AT91" s="33"/>
      <c r="AU91" s="33"/>
      <c r="AV91" s="33"/>
      <c r="AW91" s="33"/>
      <c r="AX91" s="33"/>
      <c r="AY91" s="33"/>
      <c r="AZ91" s="33"/>
      <c r="BA91" s="33"/>
      <c r="BB91" s="33"/>
      <c r="BC91" s="33"/>
      <c r="BD91" s="33"/>
      <c r="BE91" s="33"/>
      <c r="BF91" s="33"/>
    </row>
    <row r="92" spans="1:58" s="10" customFormat="1" ht="11.25" customHeight="1">
      <c r="A92" s="300"/>
      <c r="B92" s="300"/>
      <c r="C92" s="300"/>
      <c r="D92" s="60"/>
      <c r="E92" s="9"/>
      <c r="F92" s="988"/>
      <c r="G92" s="989"/>
      <c r="H92" s="989"/>
      <c r="I92" s="970"/>
      <c r="J92" s="970"/>
      <c r="K92" s="990"/>
      <c r="L92" s="970"/>
      <c r="M92" s="989"/>
      <c r="N92" s="1490"/>
      <c r="O92" s="1491"/>
      <c r="P92" s="1493"/>
      <c r="Q92" s="1399"/>
      <c r="R92" s="1399"/>
      <c r="S92" s="1495"/>
      <c r="T92" s="1399"/>
      <c r="U92" s="1399"/>
      <c r="V92" s="1399"/>
      <c r="W92" s="1399"/>
      <c r="X92" s="1399"/>
      <c r="Y92" s="1399"/>
      <c r="Z92" s="987"/>
      <c r="AA92" s="978">
        <v>1</v>
      </c>
      <c r="AB92" s="675"/>
      <c r="AC92" s="377"/>
      <c r="AD92" s="675">
        <f>AB92</f>
        <v>0</v>
      </c>
      <c r="AE92" s="418"/>
      <c r="AF92" s="990"/>
      <c r="AG92" s="966"/>
      <c r="AH92" s="966"/>
      <c r="AI92" s="990"/>
      <c r="AJ92" s="966"/>
      <c r="AK92" s="1056"/>
      <c r="AL92" s="711"/>
      <c r="AM92" s="33"/>
      <c r="AN92" s="33"/>
      <c r="AO92" s="33"/>
      <c r="AP92" s="33"/>
      <c r="AQ92" s="33"/>
      <c r="AR92" s="33"/>
      <c r="AS92" s="33"/>
      <c r="AT92" s="33"/>
      <c r="AU92" s="33"/>
      <c r="AV92" s="33"/>
      <c r="AW92" s="33"/>
      <c r="AX92" s="33"/>
      <c r="AY92" s="33"/>
      <c r="AZ92" s="33"/>
      <c r="BA92" s="33"/>
      <c r="BB92" s="33"/>
      <c r="BC92" s="33"/>
      <c r="BD92" s="33"/>
      <c r="BE92" s="33"/>
      <c r="BF92" s="33"/>
    </row>
    <row r="93" spans="1:58" s="10" customFormat="1" ht="11.25" customHeight="1">
      <c r="A93" s="300"/>
      <c r="B93" s="300"/>
      <c r="C93" s="300"/>
      <c r="D93" s="60"/>
      <c r="E93" s="9"/>
      <c r="F93" s="988"/>
      <c r="G93" s="989"/>
      <c r="H93" s="989"/>
      <c r="I93" s="971"/>
      <c r="J93" s="971"/>
      <c r="K93" s="990"/>
      <c r="L93" s="971"/>
      <c r="M93" s="989"/>
      <c r="N93" s="1490"/>
      <c r="O93" s="1491"/>
      <c r="P93" s="1494"/>
      <c r="Q93" s="1399"/>
      <c r="R93" s="1399"/>
      <c r="S93" s="1495"/>
      <c r="T93" s="1399"/>
      <c r="U93" s="1399"/>
      <c r="V93" s="1399"/>
      <c r="W93" s="1399"/>
      <c r="X93" s="1399"/>
      <c r="Y93" s="1399"/>
      <c r="Z93" s="671"/>
      <c r="AA93" s="672"/>
      <c r="AB93" s="107" t="s">
        <v>1924</v>
      </c>
      <c r="AC93" s="676"/>
      <c r="AD93" s="676"/>
      <c r="AE93" s="676"/>
      <c r="AF93" s="992"/>
      <c r="AG93" s="966"/>
      <c r="AH93" s="966"/>
      <c r="AI93" s="992"/>
      <c r="AJ93" s="966"/>
      <c r="AK93" s="1056"/>
      <c r="AL93" s="711"/>
      <c r="AM93" s="33"/>
      <c r="AN93" s="33"/>
      <c r="AO93" s="33"/>
      <c r="AP93" s="33"/>
      <c r="AQ93" s="33"/>
      <c r="AR93" s="33"/>
      <c r="AS93" s="33"/>
      <c r="AT93" s="33"/>
      <c r="AU93" s="33"/>
      <c r="AV93" s="33"/>
      <c r="AW93" s="33"/>
      <c r="AX93" s="33"/>
      <c r="AY93" s="33"/>
      <c r="AZ93" s="33"/>
      <c r="BA93" s="33"/>
      <c r="BB93" s="33"/>
      <c r="BC93" s="33"/>
      <c r="BD93" s="33"/>
      <c r="BE93" s="33"/>
      <c r="BF93" s="33"/>
    </row>
    <row r="95" spans="1:58" s="983" customFormat="1" ht="11.25" customHeight="1">
      <c r="A95" s="983" t="s">
        <v>1925</v>
      </c>
    </row>
    <row r="97" spans="1:184" s="10" customFormat="1" ht="11.25" customHeight="1">
      <c r="A97" s="300"/>
      <c r="B97" s="300"/>
      <c r="C97" s="300"/>
      <c r="D97" s="60"/>
      <c r="E97" s="9"/>
      <c r="F97" s="989"/>
      <c r="G97" s="989"/>
      <c r="H97" s="989"/>
      <c r="I97" s="989"/>
      <c r="J97" s="989"/>
      <c r="K97" s="989"/>
      <c r="L97" s="989"/>
      <c r="M97" s="989"/>
      <c r="N97" s="989"/>
      <c r="O97" s="989"/>
      <c r="P97" s="989"/>
      <c r="Q97" s="989"/>
      <c r="R97" s="989"/>
      <c r="S97" s="989"/>
      <c r="T97" s="989"/>
      <c r="U97" s="989"/>
      <c r="V97" s="989"/>
      <c r="W97" s="989"/>
      <c r="X97" s="989"/>
      <c r="Y97" s="989"/>
      <c r="Z97" s="993"/>
      <c r="AA97" s="982">
        <v>1</v>
      </c>
      <c r="AB97" s="675"/>
      <c r="AC97" s="377"/>
      <c r="AD97" s="675">
        <f>AB97</f>
        <v>0</v>
      </c>
      <c r="AE97" s="377"/>
      <c r="AF97" s="990"/>
      <c r="AG97" s="966"/>
      <c r="AH97" s="966"/>
      <c r="AI97" s="990"/>
      <c r="AJ97" s="966"/>
      <c r="AK97" s="1056"/>
      <c r="AL97" s="711"/>
      <c r="AM97" s="33"/>
      <c r="AN97" s="33"/>
      <c r="AO97" s="33"/>
      <c r="AP97" s="33"/>
      <c r="AQ97" s="33"/>
      <c r="AR97" s="33"/>
      <c r="AS97" s="33"/>
      <c r="AT97" s="33"/>
      <c r="AU97" s="33"/>
      <c r="AV97" s="33"/>
      <c r="AW97" s="33"/>
      <c r="AX97" s="33"/>
      <c r="AY97" s="33"/>
      <c r="AZ97" s="33"/>
      <c r="BA97" s="33"/>
      <c r="BB97" s="33"/>
      <c r="BC97" s="33"/>
      <c r="BD97" s="33"/>
      <c r="BE97" s="33"/>
      <c r="BF97" s="33"/>
    </row>
    <row r="99" spans="1:184" s="983" customFormat="1" ht="11.25" customHeight="1">
      <c r="A99" s="983" t="s">
        <v>1926</v>
      </c>
    </row>
    <row r="101" spans="1:184" s="10" customFormat="1" ht="11.25" customHeight="1">
      <c r="A101" s="300"/>
      <c r="B101" s="300"/>
      <c r="C101" s="300"/>
      <c r="D101" s="60"/>
      <c r="E101" s="9"/>
      <c r="F101" s="988"/>
      <c r="G101" s="989"/>
      <c r="H101" s="1435" t="s">
        <v>107</v>
      </c>
      <c r="I101" s="1540"/>
      <c r="J101" s="1470"/>
      <c r="K101" s="1538"/>
      <c r="L101" s="1156" t="s">
        <v>19</v>
      </c>
      <c r="M101" s="1157"/>
      <c r="N101" s="1055"/>
      <c r="O101" s="673" t="s">
        <v>376</v>
      </c>
      <c r="P101" s="674"/>
      <c r="Q101" s="674"/>
      <c r="R101" s="674"/>
      <c r="S101" s="674"/>
      <c r="T101" s="674"/>
      <c r="U101" s="674"/>
      <c r="V101" s="674"/>
      <c r="W101" s="674"/>
      <c r="X101" s="674"/>
      <c r="Y101" s="674"/>
      <c r="Z101" s="674"/>
      <c r="AA101" s="674"/>
      <c r="AB101" s="674"/>
      <c r="AC101" s="674"/>
      <c r="AD101" s="674"/>
      <c r="AE101" s="674"/>
      <c r="AF101" s="1541"/>
      <c r="AG101" s="1542"/>
      <c r="AH101" s="1542"/>
      <c r="AI101" s="1541"/>
      <c r="AJ101" s="1542"/>
      <c r="AK101" s="1542"/>
      <c r="AL101" s="711"/>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184" s="10" customFormat="1" ht="11.25" customHeight="1">
      <c r="A102" s="300"/>
      <c r="B102" s="300"/>
      <c r="C102" s="300"/>
      <c r="D102" s="60"/>
      <c r="E102" s="9"/>
      <c r="F102" s="988"/>
      <c r="G102" s="989"/>
      <c r="H102" s="1435"/>
      <c r="I102" s="1540"/>
      <c r="J102" s="1470"/>
      <c r="K102" s="1538"/>
      <c r="L102" s="1156"/>
      <c r="M102" s="1157"/>
      <c r="N102" s="1490"/>
      <c r="O102" s="1543">
        <v>1</v>
      </c>
      <c r="P102" s="1492" t="s">
        <v>19</v>
      </c>
      <c r="Q102" s="1399" t="s">
        <v>28</v>
      </c>
      <c r="R102" s="1399" t="s">
        <v>28</v>
      </c>
      <c r="S102" s="1399" t="s">
        <v>28</v>
      </c>
      <c r="T102" s="1399" t="s">
        <v>28</v>
      </c>
      <c r="U102" s="1399" t="s">
        <v>28</v>
      </c>
      <c r="V102" s="1399" t="s">
        <v>28</v>
      </c>
      <c r="W102" s="1399" t="s">
        <v>28</v>
      </c>
      <c r="X102" s="1399" t="s">
        <v>28</v>
      </c>
      <c r="Y102" s="1399"/>
      <c r="Z102" s="671"/>
      <c r="AA102" s="672"/>
      <c r="AB102" s="672"/>
      <c r="AC102" s="676"/>
      <c r="AD102" s="676"/>
      <c r="AE102" s="677"/>
      <c r="AF102" s="1541"/>
      <c r="AG102" s="1542"/>
      <c r="AH102" s="1542"/>
      <c r="AI102" s="1541"/>
      <c r="AJ102" s="1542"/>
      <c r="AK102" s="1542"/>
      <c r="AL102" s="711"/>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184" s="10" customFormat="1" ht="11.25" customHeight="1">
      <c r="A103" s="300"/>
      <c r="B103" s="300"/>
      <c r="C103" s="300"/>
      <c r="D103" s="60"/>
      <c r="E103" s="9"/>
      <c r="F103" s="988"/>
      <c r="G103" s="989"/>
      <c r="H103" s="1435"/>
      <c r="I103" s="1540"/>
      <c r="J103" s="1470"/>
      <c r="K103" s="1538"/>
      <c r="L103" s="1156"/>
      <c r="M103" s="1157"/>
      <c r="N103" s="1490"/>
      <c r="O103" s="1543"/>
      <c r="P103" s="1493"/>
      <c r="Q103" s="1399"/>
      <c r="R103" s="1399"/>
      <c r="S103" s="1495"/>
      <c r="T103" s="1399"/>
      <c r="U103" s="1399"/>
      <c r="V103" s="1399"/>
      <c r="W103" s="1399"/>
      <c r="X103" s="1399"/>
      <c r="Y103" s="1399"/>
      <c r="Z103" s="987"/>
      <c r="AA103" s="978">
        <v>1</v>
      </c>
      <c r="AB103" s="675"/>
      <c r="AC103" s="377"/>
      <c r="AD103" s="675">
        <f>AB103</f>
        <v>0</v>
      </c>
      <c r="AE103" s="377"/>
      <c r="AF103" s="1541"/>
      <c r="AG103" s="1542"/>
      <c r="AH103" s="1542"/>
      <c r="AI103" s="1541"/>
      <c r="AJ103" s="1542"/>
      <c r="AK103" s="1542"/>
      <c r="AL103" s="711"/>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184" s="10" customFormat="1" ht="11.25" customHeight="1">
      <c r="A104" s="300"/>
      <c r="B104" s="300"/>
      <c r="C104" s="300"/>
      <c r="D104" s="60"/>
      <c r="E104" s="9"/>
      <c r="F104" s="988"/>
      <c r="G104" s="989"/>
      <c r="H104" s="1435"/>
      <c r="I104" s="1540"/>
      <c r="J104" s="1470"/>
      <c r="K104" s="1538"/>
      <c r="L104" s="1156"/>
      <c r="M104" s="1157"/>
      <c r="N104" s="1490"/>
      <c r="O104" s="1543"/>
      <c r="P104" s="1494"/>
      <c r="Q104" s="1399"/>
      <c r="R104" s="1399"/>
      <c r="S104" s="1495"/>
      <c r="T104" s="1399"/>
      <c r="U104" s="1399"/>
      <c r="V104" s="1399"/>
      <c r="W104" s="1399"/>
      <c r="X104" s="1399"/>
      <c r="Y104" s="1399"/>
      <c r="Z104" s="671"/>
      <c r="AA104" s="672"/>
      <c r="AB104" s="107" t="s">
        <v>1924</v>
      </c>
      <c r="AC104" s="676"/>
      <c r="AD104" s="676"/>
      <c r="AE104" s="678"/>
      <c r="AF104" s="1541"/>
      <c r="AG104" s="1542"/>
      <c r="AH104" s="1542"/>
      <c r="AI104" s="1541"/>
      <c r="AJ104" s="1542"/>
      <c r="AK104" s="1542"/>
      <c r="AL104" s="711"/>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184" s="10" customFormat="1" ht="11.25" customHeight="1">
      <c r="A105" s="300"/>
      <c r="B105" s="300"/>
      <c r="C105" s="300"/>
      <c r="D105" s="60"/>
      <c r="E105" s="9"/>
      <c r="F105" s="988"/>
      <c r="G105" s="989"/>
      <c r="H105" s="1435"/>
      <c r="I105" s="1540"/>
      <c r="J105" s="1470"/>
      <c r="K105" s="1538"/>
      <c r="L105" s="1156"/>
      <c r="M105" s="1157"/>
      <c r="N105" s="671"/>
      <c r="O105" s="672"/>
      <c r="P105" s="107" t="s">
        <v>1927</v>
      </c>
      <c r="Q105" s="672"/>
      <c r="R105" s="672"/>
      <c r="S105" s="672"/>
      <c r="T105" s="672"/>
      <c r="U105" s="672"/>
      <c r="V105" s="672"/>
      <c r="W105" s="672"/>
      <c r="X105" s="672"/>
      <c r="Y105" s="672"/>
      <c r="Z105" s="672"/>
      <c r="AA105" s="672"/>
      <c r="AB105" s="672"/>
      <c r="AC105" s="672"/>
      <c r="AD105" s="672"/>
      <c r="AE105" s="679"/>
      <c r="AF105" s="1541"/>
      <c r="AG105" s="1542"/>
      <c r="AH105" s="1542"/>
      <c r="AI105" s="1541"/>
      <c r="AJ105" s="1542"/>
      <c r="AK105" s="1542"/>
      <c r="AL105" s="711"/>
      <c r="AM105" s="33"/>
      <c r="AN105" s="33"/>
      <c r="AO105" s="33"/>
      <c r="AP105" s="33"/>
      <c r="AQ105" s="33"/>
      <c r="AR105" s="33"/>
      <c r="AS105" s="33"/>
      <c r="AT105" s="33"/>
      <c r="AU105" s="33"/>
      <c r="AV105" s="33"/>
      <c r="AW105" s="33"/>
      <c r="AX105" s="33"/>
      <c r="AY105" s="33"/>
      <c r="AZ105" s="33"/>
      <c r="BA105" s="33"/>
      <c r="BB105" s="33"/>
      <c r="BC105" s="33"/>
      <c r="BD105" s="33"/>
      <c r="BE105" s="33"/>
      <c r="BF105" s="33"/>
    </row>
    <row r="107" spans="1:184" s="983" customFormat="1" ht="11.25" customHeight="1">
      <c r="A107" s="983" t="s">
        <v>1928</v>
      </c>
    </row>
    <row r="108" spans="1:184" ht="17.25" customHeight="1"/>
    <row r="109" spans="1:184" s="530" customFormat="1" ht="21" customHeight="1">
      <c r="A109" s="310"/>
      <c r="B109" s="531"/>
      <c r="E109" s="538" t="s">
        <v>28</v>
      </c>
      <c r="F109" s="661" t="e">
        <f>INDEX(IP_MAIN_LIST_NAME_IP,MATCH(A109,IP_MAIN_LIST_IP_ID,0))&amp;" ("&amp;INDEX(IP_MAIN_START_DATE,MATCH(A109,IP_MAIN_LIST_IP_ID,0))&amp;"-"&amp;INDEX(IP_MAIN_END_DATE,MATCH(A109,IP_MAIN_LIST_IP_ID,0))&amp;")"</f>
        <v>#N/A</v>
      </c>
      <c r="G109" s="695"/>
      <c r="H109" s="696"/>
      <c r="I109" s="696"/>
      <c r="J109" s="696"/>
      <c r="K109" s="696"/>
      <c r="L109" s="696"/>
      <c r="M109" s="696"/>
      <c r="N109" s="696"/>
      <c r="O109" s="695"/>
      <c r="P109" s="695"/>
      <c r="Q109" s="695"/>
      <c r="R109" s="695"/>
      <c r="S109" s="695"/>
      <c r="T109" s="695"/>
      <c r="U109" s="697"/>
      <c r="V109" s="697"/>
      <c r="W109" s="697"/>
      <c r="X109" s="697"/>
      <c r="Y109" s="697"/>
      <c r="Z109" s="697"/>
      <c r="AA109" s="697"/>
      <c r="AB109" s="695"/>
      <c r="AC109" s="696"/>
      <c r="AD109" s="696"/>
      <c r="AE109" s="696"/>
      <c r="AF109" s="696"/>
      <c r="AG109" s="696"/>
      <c r="AH109" s="696"/>
      <c r="AI109" s="696"/>
      <c r="AJ109" s="696"/>
      <c r="AK109" s="696"/>
      <c r="AL109" s="696"/>
      <c r="AM109" s="696"/>
      <c r="AN109" s="696"/>
      <c r="AO109" s="696"/>
      <c r="AP109" s="696"/>
      <c r="AQ109" s="696"/>
      <c r="AR109" s="696"/>
      <c r="AS109" s="696"/>
      <c r="AT109" s="696"/>
      <c r="AU109" s="696"/>
      <c r="AV109" s="696"/>
      <c r="AW109" s="696"/>
      <c r="AX109" s="696"/>
      <c r="AY109" s="696"/>
      <c r="AZ109" s="696"/>
      <c r="BA109" s="696"/>
      <c r="BB109" s="696"/>
      <c r="BC109" s="696"/>
      <c r="BD109" s="696"/>
      <c r="BE109" s="696"/>
      <c r="BF109" s="696"/>
      <c r="BG109" s="696"/>
      <c r="BH109" s="696"/>
      <c r="BI109" s="696"/>
      <c r="BJ109" s="696"/>
      <c r="BK109" s="696"/>
      <c r="BL109" s="696"/>
      <c r="BM109" s="696"/>
      <c r="BN109" s="696"/>
      <c r="BO109" s="696"/>
      <c r="BP109" s="696"/>
      <c r="BQ109" s="696"/>
      <c r="BR109" s="696"/>
      <c r="BS109" s="696"/>
      <c r="BT109" s="696"/>
      <c r="BU109" s="696"/>
      <c r="BV109" s="696"/>
      <c r="BW109" s="696"/>
      <c r="BX109" s="696"/>
      <c r="BY109" s="696"/>
      <c r="BZ109" s="696"/>
      <c r="CA109" s="696"/>
      <c r="CB109" s="696"/>
      <c r="CC109" s="696"/>
      <c r="CD109" s="696"/>
      <c r="CE109" s="696"/>
      <c r="CF109" s="696"/>
      <c r="CG109" s="696"/>
      <c r="CH109" s="696"/>
      <c r="CI109" s="696"/>
      <c r="CJ109" s="696"/>
      <c r="CK109" s="696"/>
      <c r="CL109" s="698"/>
      <c r="CM109" s="698"/>
      <c r="CN109" s="698"/>
      <c r="CO109" s="698"/>
      <c r="CP109" s="698"/>
      <c r="CQ109" s="698"/>
      <c r="CR109" s="698"/>
      <c r="CS109" s="698"/>
      <c r="CT109" s="698"/>
      <c r="CU109" s="698"/>
      <c r="CV109" s="698"/>
      <c r="CW109" s="698"/>
      <c r="CX109" s="698"/>
      <c r="CY109" s="698"/>
      <c r="CZ109" s="698"/>
      <c r="DA109" s="698"/>
      <c r="DB109" s="698"/>
      <c r="DC109" s="698"/>
      <c r="DD109" s="698"/>
      <c r="DE109" s="698"/>
      <c r="DF109" s="698"/>
      <c r="DG109" s="698"/>
      <c r="DH109" s="698"/>
      <c r="DI109" s="698"/>
      <c r="DJ109" s="698"/>
      <c r="DK109" s="698"/>
      <c r="DL109" s="698"/>
      <c r="DM109" s="698"/>
      <c r="DN109" s="698"/>
      <c r="DO109" s="698"/>
      <c r="DP109" s="698"/>
      <c r="DQ109" s="698"/>
      <c r="DR109" s="698"/>
      <c r="DS109" s="698"/>
      <c r="DT109" s="698"/>
      <c r="DU109" s="698"/>
      <c r="DV109" s="698"/>
      <c r="DW109" s="698"/>
      <c r="DX109" s="698"/>
      <c r="DY109" s="698"/>
      <c r="DZ109" s="698"/>
      <c r="EA109" s="698"/>
      <c r="EB109" s="698"/>
      <c r="EC109" s="698"/>
      <c r="ED109" s="698"/>
      <c r="EE109" s="698"/>
      <c r="EF109" s="698"/>
      <c r="EG109" s="698"/>
      <c r="EH109" s="698"/>
      <c r="EI109" s="698"/>
      <c r="EJ109" s="698"/>
      <c r="EK109" s="698"/>
      <c r="EL109" s="698"/>
      <c r="EM109" s="698"/>
      <c r="EN109" s="698"/>
      <c r="EO109" s="698"/>
      <c r="EP109" s="698"/>
      <c r="EQ109" s="698"/>
      <c r="ER109" s="698"/>
      <c r="ES109" s="698"/>
      <c r="ET109" s="698"/>
      <c r="EU109" s="698"/>
      <c r="EV109" s="698"/>
      <c r="EW109" s="698"/>
      <c r="EX109" s="698"/>
      <c r="EY109" s="698"/>
      <c r="EZ109" s="698"/>
      <c r="FA109" s="698"/>
      <c r="FB109" s="698"/>
      <c r="FC109" s="698"/>
      <c r="FD109" s="698"/>
      <c r="FE109" s="698"/>
      <c r="FF109" s="698"/>
      <c r="FG109" s="698"/>
      <c r="FH109" s="698"/>
      <c r="FI109" s="698"/>
      <c r="FJ109" s="698"/>
      <c r="FK109" s="698"/>
      <c r="FL109" s="698"/>
      <c r="FM109" s="698"/>
      <c r="FN109" s="698"/>
      <c r="FO109" s="698"/>
      <c r="FP109" s="698"/>
      <c r="FQ109" s="698"/>
      <c r="FR109" s="698"/>
      <c r="FS109" s="698"/>
      <c r="FT109" s="698"/>
      <c r="FU109" s="698"/>
      <c r="FV109" s="699"/>
      <c r="FW109" s="694"/>
      <c r="FX109" s="689"/>
    </row>
    <row r="110" spans="1:184" s="530" customFormat="1" ht="24.75" customHeight="1">
      <c r="B110" s="531"/>
      <c r="E110"/>
      <c r="F110" s="43">
        <v>1</v>
      </c>
      <c r="G110" s="616"/>
      <c r="H110" s="199"/>
      <c r="I110" s="1051"/>
      <c r="J110" s="700"/>
      <c r="K110" s="700"/>
      <c r="L110" s="700"/>
      <c r="M110" s="700"/>
      <c r="N110" s="700"/>
      <c r="O110" s="701"/>
      <c r="P110" s="701"/>
      <c r="Q110" s="701"/>
      <c r="R110" s="701"/>
      <c r="S110" s="701"/>
      <c r="T110" s="701"/>
      <c r="U110" s="701"/>
      <c r="V110" s="701"/>
      <c r="W110" s="701"/>
      <c r="X110" s="701"/>
      <c r="Y110" s="701"/>
      <c r="Z110" s="701"/>
      <c r="AA110" s="701"/>
      <c r="AB110" s="701"/>
      <c r="AC110" s="700"/>
      <c r="AD110" s="700"/>
      <c r="AE110" s="700"/>
      <c r="AF110" s="700"/>
      <c r="AG110" s="700"/>
      <c r="AH110" s="700"/>
      <c r="AI110" s="700"/>
      <c r="AJ110" s="700"/>
      <c r="AK110" s="700"/>
      <c r="AL110" s="700"/>
      <c r="AM110" s="700"/>
      <c r="AN110" s="700"/>
      <c r="AO110" s="700"/>
      <c r="AP110" s="700"/>
      <c r="AQ110" s="700"/>
      <c r="AR110" s="700"/>
      <c r="AS110" s="700"/>
      <c r="AT110" s="700"/>
      <c r="AU110" s="700"/>
      <c r="AV110" s="700"/>
      <c r="AW110" s="700"/>
      <c r="AX110" s="700"/>
      <c r="AY110" s="700"/>
      <c r="AZ110" s="700"/>
      <c r="BA110" s="700"/>
      <c r="BB110" s="700"/>
      <c r="BC110" s="700"/>
      <c r="BD110" s="700"/>
      <c r="BE110" s="700"/>
      <c r="BF110" s="700"/>
      <c r="BG110" s="700"/>
      <c r="BH110" s="700"/>
      <c r="BI110" s="700"/>
      <c r="BJ110" s="700"/>
      <c r="BK110" s="700"/>
      <c r="BL110" s="700"/>
      <c r="BM110" s="700"/>
      <c r="BN110" s="700"/>
      <c r="BO110" s="700"/>
      <c r="BP110" s="700"/>
      <c r="BQ110" s="700"/>
      <c r="BR110" s="700"/>
      <c r="BS110" s="700"/>
      <c r="BT110" s="701"/>
      <c r="BU110" s="701"/>
      <c r="BV110" s="701"/>
      <c r="BW110" s="701"/>
      <c r="BX110" s="701"/>
      <c r="BY110" s="701"/>
      <c r="BZ110" s="701"/>
      <c r="CA110" s="701"/>
      <c r="CB110" s="701"/>
      <c r="CC110" s="701"/>
      <c r="CD110" s="701"/>
      <c r="CE110" s="701"/>
      <c r="CF110" s="701"/>
      <c r="CG110" s="701"/>
      <c r="CH110" s="701"/>
      <c r="CI110" s="701"/>
      <c r="CJ110" s="701"/>
      <c r="CK110" s="701"/>
      <c r="CL110" s="700"/>
      <c r="CM110" s="700"/>
      <c r="CN110" s="700"/>
      <c r="CO110" s="700"/>
      <c r="CP110" s="700"/>
      <c r="CQ110" s="700"/>
      <c r="CR110" s="700"/>
      <c r="CS110" s="700"/>
      <c r="CT110" s="700"/>
      <c r="CU110" s="700"/>
      <c r="CV110" s="700"/>
      <c r="CW110" s="700"/>
      <c r="CX110" s="700"/>
      <c r="CY110" s="701"/>
      <c r="CZ110" s="701"/>
      <c r="DA110" s="701"/>
      <c r="DB110" s="701"/>
      <c r="DC110" s="701"/>
      <c r="DD110" s="701"/>
      <c r="DE110" s="701"/>
      <c r="DF110" s="701"/>
      <c r="DG110" s="701"/>
      <c r="DH110" s="701"/>
      <c r="DI110" s="701"/>
      <c r="DJ110" s="701"/>
      <c r="DK110" s="700"/>
      <c r="DL110" s="700"/>
      <c r="DM110" s="700"/>
      <c r="DN110" s="700"/>
      <c r="DO110" s="700"/>
      <c r="DP110" s="700"/>
      <c r="DQ110" s="700"/>
      <c r="DR110" s="700"/>
      <c r="DS110" s="700"/>
      <c r="DT110" s="700"/>
      <c r="DU110" s="700"/>
      <c r="DV110" s="700"/>
      <c r="DW110" s="700"/>
      <c r="DX110" s="700"/>
      <c r="DY110" s="700"/>
      <c r="DZ110" s="700"/>
      <c r="EA110" s="700"/>
      <c r="EB110" s="700"/>
      <c r="EC110" s="700"/>
      <c r="ED110" s="700"/>
      <c r="EE110" s="700"/>
      <c r="EF110" s="700"/>
      <c r="EG110" s="700"/>
      <c r="EH110" s="700"/>
      <c r="EI110" s="700"/>
      <c r="EJ110" s="700"/>
      <c r="EK110" s="700"/>
      <c r="EL110" s="700"/>
      <c r="EM110" s="700"/>
      <c r="EN110" s="700"/>
      <c r="EO110" s="700"/>
      <c r="EP110" s="700"/>
      <c r="EQ110" s="700"/>
      <c r="ER110" s="700"/>
      <c r="ES110" s="700"/>
      <c r="ET110" s="700"/>
      <c r="EU110" s="700"/>
      <c r="EV110" s="700"/>
      <c r="EW110" s="700"/>
      <c r="EX110" s="700"/>
      <c r="EY110" s="700"/>
      <c r="EZ110" s="700"/>
      <c r="FA110" s="700"/>
      <c r="FB110" s="700"/>
      <c r="FC110" s="700"/>
      <c r="FD110" s="700"/>
      <c r="FE110" s="700"/>
      <c r="FF110" s="700"/>
      <c r="FG110" s="700"/>
      <c r="FH110" s="700"/>
      <c r="FI110" s="700"/>
      <c r="FJ110" s="700"/>
      <c r="FK110" s="700"/>
      <c r="FL110" s="700"/>
      <c r="FM110" s="700"/>
      <c r="FN110" s="700"/>
      <c r="FO110" s="700"/>
      <c r="FP110" s="700"/>
      <c r="FQ110" s="700"/>
      <c r="FR110" s="700"/>
      <c r="FS110" s="700"/>
      <c r="FT110" s="700"/>
      <c r="FU110" s="700"/>
      <c r="FV110" s="700"/>
      <c r="FW110" s="700"/>
      <c r="FX110" s="689"/>
    </row>
    <row r="111" spans="1:184" s="530" customFormat="1" ht="12" customHeight="1">
      <c r="B111" s="531"/>
      <c r="F111" s="702"/>
      <c r="G111" s="703" t="s">
        <v>1929</v>
      </c>
      <c r="H111" s="703"/>
      <c r="I111" s="703"/>
      <c r="J111" s="703"/>
      <c r="K111" s="703"/>
      <c r="L111" s="703"/>
      <c r="M111" s="703"/>
      <c r="N111" s="703"/>
      <c r="O111" s="703"/>
      <c r="P111" s="703"/>
      <c r="Q111" s="703"/>
      <c r="R111" s="703"/>
      <c r="S111" s="703"/>
      <c r="T111" s="703"/>
      <c r="U111" s="703"/>
      <c r="V111" s="703"/>
      <c r="W111" s="703"/>
      <c r="X111" s="703"/>
      <c r="Y111" s="703"/>
      <c r="Z111" s="703"/>
      <c r="AA111" s="703"/>
      <c r="AB111" s="703"/>
      <c r="AC111" s="703"/>
      <c r="AD111" s="703"/>
      <c r="AE111" s="703"/>
      <c r="AF111" s="703"/>
      <c r="AG111" s="703"/>
      <c r="AH111" s="703"/>
      <c r="AI111" s="703"/>
      <c r="AJ111" s="703"/>
      <c r="AK111" s="703"/>
      <c r="AL111" s="703"/>
      <c r="AM111" s="703"/>
      <c r="AN111" s="703"/>
      <c r="AO111" s="703"/>
      <c r="AP111" s="703"/>
      <c r="AQ111" s="703"/>
      <c r="AR111" s="703"/>
      <c r="AS111" s="703"/>
      <c r="AT111" s="703"/>
      <c r="AU111" s="703"/>
      <c r="AV111" s="703"/>
      <c r="AW111" s="703"/>
      <c r="AX111" s="703"/>
      <c r="AY111" s="703"/>
      <c r="AZ111" s="703"/>
      <c r="BA111" s="703"/>
      <c r="BB111" s="703"/>
      <c r="BC111" s="703"/>
      <c r="BD111" s="703"/>
      <c r="BE111" s="703"/>
      <c r="BF111" s="703"/>
      <c r="BG111" s="703"/>
      <c r="BH111" s="703"/>
      <c r="BI111" s="703"/>
      <c r="BJ111" s="703"/>
      <c r="BK111" s="703"/>
      <c r="BL111" s="703"/>
      <c r="BM111" s="703"/>
      <c r="BN111" s="703"/>
      <c r="BO111" s="703"/>
      <c r="BP111" s="703"/>
      <c r="BQ111" s="703"/>
      <c r="BR111" s="703"/>
      <c r="BS111" s="703"/>
      <c r="BT111" s="703"/>
      <c r="BU111" s="703"/>
      <c r="BV111" s="703"/>
      <c r="BW111" s="703"/>
      <c r="BX111" s="703"/>
      <c r="BY111" s="703"/>
      <c r="BZ111" s="703"/>
      <c r="CA111" s="703"/>
      <c r="CB111" s="703"/>
      <c r="CC111" s="703"/>
      <c r="CD111" s="703"/>
      <c r="CE111" s="703"/>
      <c r="CF111" s="703"/>
      <c r="CG111" s="703"/>
      <c r="CH111" s="703"/>
      <c r="CI111" s="703"/>
      <c r="CJ111" s="703"/>
      <c r="CK111" s="703"/>
      <c r="CL111" s="703"/>
      <c r="CM111" s="703"/>
      <c r="CN111" s="703"/>
      <c r="CO111" s="703"/>
      <c r="CP111" s="703"/>
      <c r="CQ111" s="703"/>
      <c r="CR111" s="703"/>
      <c r="CS111" s="703"/>
      <c r="CT111" s="703"/>
      <c r="CU111" s="703"/>
      <c r="CV111" s="703"/>
      <c r="CW111" s="703"/>
      <c r="CX111" s="703"/>
      <c r="CY111" s="703"/>
      <c r="CZ111" s="703"/>
      <c r="DA111" s="703"/>
      <c r="DB111" s="703"/>
      <c r="DC111" s="703"/>
      <c r="DD111" s="703"/>
      <c r="DE111" s="703"/>
      <c r="DF111" s="703"/>
      <c r="DG111" s="703"/>
      <c r="DH111" s="703"/>
      <c r="DI111" s="703"/>
      <c r="DJ111" s="703"/>
      <c r="DK111" s="703"/>
      <c r="DL111" s="703"/>
      <c r="DM111" s="703"/>
      <c r="DN111" s="703"/>
      <c r="DO111" s="703"/>
      <c r="DP111" s="703"/>
      <c r="DQ111" s="703"/>
      <c r="DR111" s="703"/>
      <c r="DS111" s="703"/>
      <c r="DT111" s="703"/>
      <c r="DU111" s="703"/>
      <c r="DV111" s="703"/>
      <c r="DW111" s="703"/>
      <c r="DX111" s="703"/>
      <c r="DY111" s="703"/>
      <c r="DZ111" s="703"/>
      <c r="EA111" s="703"/>
      <c r="EB111" s="703"/>
      <c r="EC111" s="703"/>
      <c r="ED111" s="703"/>
      <c r="EE111" s="703"/>
      <c r="EF111" s="703"/>
      <c r="EG111" s="703"/>
      <c r="EH111" s="703"/>
      <c r="EI111" s="703"/>
      <c r="EJ111" s="703"/>
      <c r="EK111" s="703"/>
      <c r="EL111" s="703"/>
      <c r="EM111" s="703"/>
      <c r="EN111" s="703"/>
      <c r="EO111" s="703"/>
      <c r="EP111" s="703"/>
      <c r="EQ111" s="703"/>
      <c r="ER111" s="703"/>
      <c r="ES111" s="703"/>
      <c r="ET111" s="703"/>
      <c r="EU111" s="703"/>
      <c r="EV111" s="703"/>
      <c r="EW111" s="703"/>
      <c r="EX111" s="703"/>
      <c r="EY111" s="703"/>
      <c r="EZ111" s="703"/>
      <c r="FA111" s="703"/>
      <c r="FB111" s="703"/>
      <c r="FC111" s="703"/>
      <c r="FD111" s="703"/>
      <c r="FE111" s="703"/>
      <c r="FF111" s="703"/>
      <c r="FG111" s="703"/>
      <c r="FH111" s="703"/>
      <c r="FI111" s="703"/>
      <c r="FJ111" s="703"/>
      <c r="FK111" s="703"/>
      <c r="FL111" s="703"/>
      <c r="FM111" s="703"/>
      <c r="FN111" s="703"/>
      <c r="FO111" s="703"/>
      <c r="FP111" s="703"/>
      <c r="FQ111" s="703"/>
      <c r="FR111" s="703"/>
      <c r="FS111" s="703"/>
      <c r="FT111" s="703"/>
      <c r="FU111" s="703"/>
      <c r="FV111" s="703"/>
      <c r="FW111" s="704"/>
      <c r="FX111" s="33"/>
      <c r="FY111" s="55"/>
      <c r="FZ111" s="55"/>
      <c r="GA111" s="55"/>
      <c r="GB111" s="55"/>
    </row>
    <row r="113" spans="1:83" s="983" customFormat="1" ht="11.25" customHeight="1">
      <c r="A113" s="983" t="s">
        <v>1930</v>
      </c>
    </row>
    <row r="115" spans="1:83" ht="15" customHeight="1">
      <c r="A115" s="31"/>
      <c r="D115" s="1499" t="s">
        <v>107</v>
      </c>
      <c r="E115" s="1381" t="s">
        <v>103</v>
      </c>
      <c r="F115" s="1382"/>
      <c r="G115" s="1383"/>
      <c r="H115" s="1377" t="str">
        <f>IF(A115="","",INDEX(DIFFERENTIATION_UNMERGE_VD,MATCH(A115,DIFFERENTIATION_ID_DIFF,0)))</f>
        <v/>
      </c>
      <c r="I115" s="1377"/>
      <c r="J115" s="1377"/>
      <c r="K115" s="1377"/>
      <c r="L115" s="1377"/>
      <c r="M115" s="1377"/>
      <c r="N115" s="1377"/>
      <c r="O115" s="1377"/>
      <c r="P115" s="1377"/>
      <c r="Q115" s="1377"/>
      <c r="R115" s="1377"/>
      <c r="S115" s="413"/>
      <c r="T115" s="411"/>
      <c r="U115" s="101"/>
      <c r="V115" s="101"/>
      <c r="W115" s="59"/>
      <c r="X115" s="59"/>
      <c r="Y115" s="59"/>
      <c r="Z115" s="59"/>
      <c r="AA115" s="101"/>
      <c r="AB115" s="59"/>
      <c r="AC115" s="1380"/>
      <c r="AD115" s="59"/>
      <c r="AE115" s="356" t="s">
        <v>28</v>
      </c>
      <c r="AF115" s="356"/>
      <c r="AG115" s="357" t="s">
        <v>608</v>
      </c>
      <c r="AH115" s="358">
        <v>3</v>
      </c>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59"/>
      <c r="BW115" s="59"/>
      <c r="BX115" s="59"/>
      <c r="BY115" s="59"/>
      <c r="BZ115" s="59"/>
      <c r="CA115" s="59"/>
      <c r="CB115" s="59"/>
      <c r="CC115" s="59"/>
      <c r="CD115" s="59"/>
      <c r="CE115" s="59"/>
    </row>
    <row r="116" spans="1:83" ht="15" customHeight="1">
      <c r="A116" s="31"/>
      <c r="D116" s="1500"/>
      <c r="E116" s="1381" t="s">
        <v>563</v>
      </c>
      <c r="F116" s="1382"/>
      <c r="G116" s="1383"/>
      <c r="H116" s="1377" t="str">
        <f>IF(A115="","",INDEX(DIFFERENTIATION_UNMERGE_AREA,MATCH(A115,DIFFERENTIATION_ID_DIFF,0)))</f>
        <v/>
      </c>
      <c r="I116" s="1377"/>
      <c r="J116" s="1377"/>
      <c r="K116" s="1377"/>
      <c r="L116" s="1377"/>
      <c r="M116" s="1377"/>
      <c r="N116" s="1377"/>
      <c r="O116" s="1377"/>
      <c r="P116" s="1377"/>
      <c r="Q116" s="1377"/>
      <c r="R116" s="1377"/>
      <c r="S116" s="413"/>
      <c r="T116" s="411"/>
      <c r="U116" s="101"/>
      <c r="V116" s="101"/>
      <c r="W116" s="59"/>
      <c r="X116" s="59"/>
      <c r="Y116" s="59"/>
      <c r="Z116" s="59"/>
      <c r="AA116" s="101"/>
      <c r="AB116" s="59"/>
      <c r="AC116" s="1380"/>
      <c r="AD116" s="59"/>
      <c r="AE116" s="356"/>
      <c r="AF116" s="356"/>
      <c r="AG116" s="357"/>
      <c r="AH116" s="358"/>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59"/>
      <c r="BW116" s="59"/>
      <c r="BX116" s="59"/>
      <c r="BY116" s="59"/>
      <c r="BZ116" s="59"/>
      <c r="CA116" s="59"/>
      <c r="CB116" s="59"/>
      <c r="CC116" s="59"/>
      <c r="CD116" s="59"/>
      <c r="CE116" s="59"/>
    </row>
    <row r="117" spans="1:83" ht="15" customHeight="1">
      <c r="A117" s="31"/>
      <c r="D117" s="1500"/>
      <c r="E117" s="1381" t="s">
        <v>564</v>
      </c>
      <c r="F117" s="1382"/>
      <c r="G117" s="1383"/>
      <c r="H117" s="1377" t="str">
        <f>IF(A115="","",INDEX(DIFFERENTIATION_UNMERGE_SYSTEM,MATCH(A115,DIFFERENTIATION_ID_DIFF,0)))</f>
        <v/>
      </c>
      <c r="I117" s="1377"/>
      <c r="J117" s="1377"/>
      <c r="K117" s="1377"/>
      <c r="L117" s="1377"/>
      <c r="M117" s="1377"/>
      <c r="N117" s="1377"/>
      <c r="O117" s="1377"/>
      <c r="P117" s="1377"/>
      <c r="Q117" s="1377"/>
      <c r="R117" s="1377"/>
      <c r="S117" s="413"/>
      <c r="T117" s="411"/>
      <c r="U117" s="101"/>
      <c r="V117" s="101"/>
      <c r="W117" s="59"/>
      <c r="X117" s="59"/>
      <c r="Y117" s="59"/>
      <c r="Z117" s="59"/>
      <c r="AA117" s="101"/>
      <c r="AB117" s="59"/>
      <c r="AC117" s="1380"/>
      <c r="AD117" s="59"/>
      <c r="AE117" s="356"/>
      <c r="AF117" s="356"/>
      <c r="AG117" s="357"/>
      <c r="AH117" s="358"/>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59"/>
      <c r="BW117" s="59"/>
      <c r="BX117" s="59"/>
      <c r="BY117" s="59"/>
      <c r="BZ117" s="59"/>
      <c r="CA117" s="59"/>
      <c r="CB117" s="59"/>
      <c r="CC117" s="59"/>
      <c r="CD117" s="59"/>
      <c r="CE117" s="59"/>
    </row>
    <row r="118" spans="1:83" ht="24.75" customHeight="1">
      <c r="A118" s="298"/>
      <c r="B118" s="60"/>
      <c r="C118" s="232"/>
      <c r="D118" s="1500"/>
      <c r="E118" s="1379" t="s">
        <v>609</v>
      </c>
      <c r="F118" s="1379"/>
      <c r="G118" s="1379"/>
      <c r="H118" s="1379"/>
      <c r="I118" s="1379"/>
      <c r="J118" s="1379"/>
      <c r="K118" s="1379"/>
      <c r="L118" s="1379"/>
      <c r="M118" s="1379"/>
      <c r="N118" s="1379"/>
      <c r="O118" s="1379"/>
      <c r="P118" s="1379"/>
      <c r="Q118" s="319">
        <f>SUMIF(T119:T120,"i",Q119:Q120)</f>
        <v>0</v>
      </c>
      <c r="R118" s="593"/>
      <c r="S118" s="150" t="s">
        <v>610</v>
      </c>
      <c r="T118" s="411" t="s">
        <v>611</v>
      </c>
      <c r="U118" s="1287">
        <v>1</v>
      </c>
      <c r="V118" s="1287" t="s">
        <v>574</v>
      </c>
      <c r="W118" s="60"/>
      <c r="X118" s="60"/>
      <c r="Y118" s="60"/>
      <c r="Z118" s="60"/>
      <c r="AA118" s="65"/>
      <c r="AB118" s="60"/>
      <c r="AC118" s="1380"/>
      <c r="AD118" s="59"/>
      <c r="AE118" s="60"/>
      <c r="AF118" s="60"/>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0"/>
      <c r="BW118" s="60"/>
      <c r="BX118" s="60"/>
      <c r="BY118" s="60"/>
      <c r="BZ118" s="60"/>
      <c r="CA118" s="60"/>
      <c r="CB118" s="60"/>
      <c r="CC118" s="60"/>
      <c r="CD118" s="60"/>
      <c r="CE118" s="60"/>
    </row>
    <row r="119" spans="1:83" ht="11.25" hidden="1" customHeight="1">
      <c r="A119" s="119"/>
      <c r="B119" s="65"/>
      <c r="C119" s="65"/>
      <c r="D119" s="1500"/>
      <c r="E119" s="359"/>
      <c r="F119" s="359">
        <v>0</v>
      </c>
      <c r="G119" s="359"/>
      <c r="H119" s="359"/>
      <c r="I119" s="359"/>
      <c r="J119" s="359"/>
      <c r="K119" s="359"/>
      <c r="L119" s="359"/>
      <c r="M119" s="359"/>
      <c r="N119" s="359"/>
      <c r="O119" s="359"/>
      <c r="P119" s="359"/>
      <c r="Q119" s="359"/>
      <c r="R119" s="359"/>
      <c r="S119" s="314"/>
      <c r="T119" s="412"/>
      <c r="U119" s="1287"/>
      <c r="V119" s="1287"/>
      <c r="W119" s="65"/>
      <c r="X119" s="65"/>
      <c r="Y119" s="65"/>
      <c r="Z119" s="65"/>
      <c r="AA119" s="65"/>
      <c r="AB119" s="60"/>
      <c r="AC119" s="1380"/>
      <c r="AD119" s="59"/>
      <c r="AE119" s="60"/>
      <c r="AF119" s="60"/>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row>
    <row r="120" spans="1:83" ht="11.25" customHeight="1">
      <c r="A120" s="298"/>
      <c r="B120" s="60"/>
      <c r="C120" s="232"/>
      <c r="D120" s="1500"/>
      <c r="E120" s="181" t="s">
        <v>28</v>
      </c>
      <c r="F120" s="107" t="s">
        <v>28</v>
      </c>
      <c r="G120" s="107" t="s">
        <v>1931</v>
      </c>
      <c r="H120" s="51" t="s">
        <v>28</v>
      </c>
      <c r="I120" s="51"/>
      <c r="J120" s="51"/>
      <c r="K120" s="51"/>
      <c r="L120" s="51"/>
      <c r="M120" s="51"/>
      <c r="N120" s="51"/>
      <c r="O120" s="51"/>
      <c r="P120" s="51"/>
      <c r="Q120" s="51"/>
      <c r="R120" s="349"/>
      <c r="S120" s="368"/>
      <c r="T120" s="412"/>
      <c r="U120" s="1287"/>
      <c r="V120" s="1287"/>
      <c r="W120" s="60"/>
      <c r="X120" s="60"/>
      <c r="Y120" s="60"/>
      <c r="Z120" s="60"/>
      <c r="AA120" s="65"/>
      <c r="AB120" s="60"/>
      <c r="AC120" s="1380"/>
      <c r="AD120" s="59"/>
      <c r="AE120" s="60"/>
      <c r="AF120" s="60"/>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0"/>
      <c r="BW120" s="60"/>
      <c r="BX120" s="60"/>
      <c r="BY120" s="60"/>
      <c r="BZ120" s="60"/>
      <c r="CA120" s="60"/>
      <c r="CB120" s="60"/>
      <c r="CC120" s="60"/>
      <c r="CD120" s="60"/>
      <c r="CE120" s="60"/>
    </row>
    <row r="121" spans="1:83" ht="24.75" customHeight="1">
      <c r="A121" s="298"/>
      <c r="B121" s="60"/>
      <c r="C121" s="232"/>
      <c r="D121" s="1500"/>
      <c r="E121" s="1379" t="s">
        <v>612</v>
      </c>
      <c r="F121" s="1379"/>
      <c r="G121" s="1379"/>
      <c r="H121" s="1379"/>
      <c r="I121" s="1379"/>
      <c r="J121" s="1379"/>
      <c r="K121" s="1379"/>
      <c r="L121" s="1379"/>
      <c r="M121" s="1379"/>
      <c r="N121" s="1379"/>
      <c r="O121" s="1379"/>
      <c r="P121" s="1379"/>
      <c r="Q121" s="319">
        <f>SUMIF(T122:T123,"i",Q122:Q123)</f>
        <v>0</v>
      </c>
      <c r="R121" s="593"/>
      <c r="S121" s="150" t="s">
        <v>613</v>
      </c>
      <c r="T121" s="411" t="s">
        <v>611</v>
      </c>
      <c r="U121" s="1287">
        <v>1</v>
      </c>
      <c r="V121" s="1287" t="s">
        <v>574</v>
      </c>
      <c r="W121" s="60"/>
      <c r="X121" s="60"/>
      <c r="Y121" s="60"/>
      <c r="Z121" s="60"/>
      <c r="AA121" s="65"/>
      <c r="AB121" s="60"/>
      <c r="AC121" s="404"/>
      <c r="AD121" s="59"/>
      <c r="AE121" s="60"/>
      <c r="AF121" s="60"/>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c r="BT121" s="65"/>
      <c r="BU121" s="65"/>
      <c r="BV121" s="60"/>
      <c r="BW121" s="60"/>
      <c r="BX121" s="60"/>
      <c r="BY121" s="60"/>
      <c r="BZ121" s="60"/>
      <c r="CA121" s="60"/>
      <c r="CB121" s="60"/>
      <c r="CC121" s="60"/>
      <c r="CD121" s="60"/>
      <c r="CE121" s="60"/>
    </row>
    <row r="122" spans="1:83" ht="11.25" hidden="1" customHeight="1">
      <c r="A122" s="119"/>
      <c r="B122" s="65"/>
      <c r="C122" s="65"/>
      <c r="D122" s="1500"/>
      <c r="E122" s="359"/>
      <c r="F122" s="359">
        <v>0</v>
      </c>
      <c r="G122" s="359"/>
      <c r="H122" s="359"/>
      <c r="I122" s="359"/>
      <c r="J122" s="359"/>
      <c r="K122" s="359"/>
      <c r="L122" s="359"/>
      <c r="M122" s="359"/>
      <c r="N122" s="359"/>
      <c r="O122" s="359"/>
      <c r="P122" s="359"/>
      <c r="Q122" s="359"/>
      <c r="R122" s="359"/>
      <c r="S122" s="314"/>
      <c r="T122" s="412"/>
      <c r="U122" s="1287"/>
      <c r="V122" s="1287"/>
      <c r="W122" s="65"/>
      <c r="X122" s="65"/>
      <c r="Y122" s="65"/>
      <c r="Z122" s="65"/>
      <c r="AA122" s="65"/>
      <c r="AB122" s="60"/>
      <c r="AC122" s="404"/>
      <c r="AD122" s="59"/>
      <c r="AE122" s="60"/>
      <c r="AF122" s="60"/>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65"/>
      <c r="CC122" s="65"/>
      <c r="CD122" s="65"/>
      <c r="CE122" s="65"/>
    </row>
    <row r="123" spans="1:83" ht="11.25" customHeight="1">
      <c r="A123" s="298"/>
      <c r="B123" s="60"/>
      <c r="C123" s="232"/>
      <c r="D123" s="1501"/>
      <c r="E123" s="181" t="s">
        <v>28</v>
      </c>
      <c r="F123" s="107" t="s">
        <v>28</v>
      </c>
      <c r="G123" s="107" t="s">
        <v>1931</v>
      </c>
      <c r="H123" s="51" t="s">
        <v>28</v>
      </c>
      <c r="I123" s="51"/>
      <c r="J123" s="51"/>
      <c r="K123" s="51"/>
      <c r="L123" s="51"/>
      <c r="M123" s="51"/>
      <c r="N123" s="51"/>
      <c r="O123" s="51"/>
      <c r="P123" s="51"/>
      <c r="Q123" s="51"/>
      <c r="R123" s="349"/>
      <c r="S123" s="368"/>
      <c r="T123" s="412"/>
      <c r="U123" s="1287"/>
      <c r="V123" s="1287"/>
      <c r="W123" s="60"/>
      <c r="X123" s="60"/>
      <c r="Y123" s="60"/>
      <c r="Z123" s="60"/>
      <c r="AA123" s="65"/>
      <c r="AB123" s="60"/>
      <c r="AC123" s="404"/>
      <c r="AD123" s="59"/>
      <c r="AE123" s="60"/>
      <c r="AF123" s="60"/>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0"/>
      <c r="BW123" s="60"/>
      <c r="BX123" s="60"/>
      <c r="BY123" s="60"/>
      <c r="BZ123" s="60"/>
      <c r="CA123" s="60"/>
      <c r="CB123" s="60"/>
      <c r="CC123" s="60"/>
      <c r="CD123" s="60"/>
      <c r="CE123" s="60"/>
    </row>
    <row r="125" spans="1:83" s="983" customFormat="1" ht="11.25" customHeight="1">
      <c r="A125" s="983" t="s">
        <v>1932</v>
      </c>
    </row>
    <row r="127" spans="1:83" ht="15" customHeight="1">
      <c r="A127" s="31"/>
      <c r="D127" s="1499" t="s">
        <v>107</v>
      </c>
      <c r="E127" s="1381" t="s">
        <v>103</v>
      </c>
      <c r="F127" s="1382"/>
      <c r="G127" s="1383"/>
      <c r="H127" s="1377" t="str">
        <f>IF(A127="","",INDEX(DIFFERENTIATION_UNMERGE_VD,MATCH(A127,DIFFERENTIATION_ID_DIFF,0)))</f>
        <v/>
      </c>
      <c r="I127" s="1377"/>
      <c r="J127" s="1377"/>
      <c r="K127" s="1377"/>
      <c r="L127" s="1377"/>
      <c r="M127" s="1377"/>
      <c r="N127" s="1377"/>
      <c r="O127" s="1377"/>
      <c r="P127" s="1377"/>
      <c r="Q127" s="1377"/>
      <c r="R127" s="1377"/>
      <c r="S127" s="413"/>
      <c r="T127" s="411"/>
      <c r="U127" s="101"/>
      <c r="V127" s="101"/>
      <c r="W127" s="59"/>
      <c r="X127" s="59"/>
      <c r="Y127" s="59"/>
      <c r="Z127" s="59"/>
      <c r="AA127" s="101"/>
      <c r="AB127" s="59"/>
      <c r="AC127" s="1380"/>
      <c r="AD127" s="59"/>
      <c r="AE127" s="356" t="s">
        <v>28</v>
      </c>
      <c r="AF127" s="356"/>
      <c r="AG127" s="357" t="s">
        <v>608</v>
      </c>
      <c r="AH127" s="358">
        <v>3</v>
      </c>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59"/>
      <c r="BW127" s="59"/>
      <c r="BX127" s="59"/>
      <c r="BY127" s="59"/>
      <c r="BZ127" s="59"/>
      <c r="CA127" s="59"/>
      <c r="CB127" s="59"/>
      <c r="CC127" s="59"/>
      <c r="CD127" s="59"/>
      <c r="CE127" s="59"/>
    </row>
    <row r="128" spans="1:83" ht="15" customHeight="1">
      <c r="A128" s="31"/>
      <c r="D128" s="1500"/>
      <c r="E128" s="1381" t="s">
        <v>563</v>
      </c>
      <c r="F128" s="1382"/>
      <c r="G128" s="1383"/>
      <c r="H128" s="1377" t="str">
        <f>IF(A127="","",INDEX(DIFFERENTIATION_UNMERGE_AREA,MATCH(A127,DIFFERENTIATION_ID_DIFF,0)))</f>
        <v/>
      </c>
      <c r="I128" s="1377"/>
      <c r="J128" s="1377"/>
      <c r="K128" s="1377"/>
      <c r="L128" s="1377"/>
      <c r="M128" s="1377"/>
      <c r="N128" s="1377"/>
      <c r="O128" s="1377"/>
      <c r="P128" s="1377"/>
      <c r="Q128" s="1377"/>
      <c r="R128" s="1377"/>
      <c r="S128" s="413"/>
      <c r="T128" s="411"/>
      <c r="U128" s="101"/>
      <c r="V128" s="101"/>
      <c r="W128" s="59"/>
      <c r="X128" s="59"/>
      <c r="Y128" s="59"/>
      <c r="Z128" s="59"/>
      <c r="AA128" s="101"/>
      <c r="AB128" s="59"/>
      <c r="AC128" s="1380"/>
      <c r="AD128" s="59"/>
      <c r="AE128" s="356"/>
      <c r="AF128" s="356"/>
      <c r="AG128" s="357"/>
      <c r="AH128" s="358"/>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59"/>
      <c r="BW128" s="59"/>
      <c r="BX128" s="59"/>
      <c r="BY128" s="59"/>
      <c r="BZ128" s="59"/>
      <c r="CA128" s="59"/>
      <c r="CB128" s="59"/>
      <c r="CC128" s="59"/>
      <c r="CD128" s="59"/>
      <c r="CE128" s="59"/>
    </row>
    <row r="129" spans="1:83" ht="15" customHeight="1">
      <c r="A129" s="31"/>
      <c r="D129" s="1500"/>
      <c r="E129" s="1381" t="s">
        <v>564</v>
      </c>
      <c r="F129" s="1382"/>
      <c r="G129" s="1383"/>
      <c r="H129" s="1377" t="str">
        <f>IF(A127="","",INDEX(DIFFERENTIATION_UNMERGE_SYSTEM,MATCH(A127,DIFFERENTIATION_ID_DIFF,0)))</f>
        <v/>
      </c>
      <c r="I129" s="1377"/>
      <c r="J129" s="1377"/>
      <c r="K129" s="1377"/>
      <c r="L129" s="1377"/>
      <c r="M129" s="1377"/>
      <c r="N129" s="1377"/>
      <c r="O129" s="1377"/>
      <c r="P129" s="1377"/>
      <c r="Q129" s="1377"/>
      <c r="R129" s="1377"/>
      <c r="S129" s="413"/>
      <c r="T129" s="411"/>
      <c r="U129" s="101"/>
      <c r="V129" s="101"/>
      <c r="W129" s="59"/>
      <c r="X129" s="59"/>
      <c r="Y129" s="59"/>
      <c r="Z129" s="59"/>
      <c r="AA129" s="101"/>
      <c r="AB129" s="59"/>
      <c r="AC129" s="1380"/>
      <c r="AD129" s="59"/>
      <c r="AE129" s="356"/>
      <c r="AF129" s="356"/>
      <c r="AG129" s="357"/>
      <c r="AH129" s="358"/>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59"/>
      <c r="BW129" s="59"/>
      <c r="BX129" s="59"/>
      <c r="BY129" s="59"/>
      <c r="BZ129" s="59"/>
      <c r="CA129" s="59"/>
      <c r="CB129" s="59"/>
      <c r="CC129" s="59"/>
      <c r="CD129" s="59"/>
      <c r="CE129" s="59"/>
    </row>
    <row r="130" spans="1:83" ht="24.75" customHeight="1">
      <c r="A130" s="298"/>
      <c r="B130" s="60"/>
      <c r="C130" s="232"/>
      <c r="D130" s="1500"/>
      <c r="E130" s="1379" t="s">
        <v>609</v>
      </c>
      <c r="F130" s="1379"/>
      <c r="G130" s="1379"/>
      <c r="H130" s="1379"/>
      <c r="I130" s="1379"/>
      <c r="J130" s="1379"/>
      <c r="K130" s="1379"/>
      <c r="L130" s="1379"/>
      <c r="M130" s="1379"/>
      <c r="N130" s="1379"/>
      <c r="O130" s="1379"/>
      <c r="P130" s="1379"/>
      <c r="Q130" s="319">
        <f>SUMIF(T131:T132,"i",Q131:Q132)</f>
        <v>0</v>
      </c>
      <c r="R130" s="593"/>
      <c r="S130" s="150" t="s">
        <v>610</v>
      </c>
      <c r="T130" s="411" t="s">
        <v>611</v>
      </c>
      <c r="U130" s="1287">
        <v>1</v>
      </c>
      <c r="V130" s="1287" t="s">
        <v>574</v>
      </c>
      <c r="W130" s="60"/>
      <c r="X130" s="60"/>
      <c r="Y130" s="60"/>
      <c r="Z130" s="60"/>
      <c r="AA130" s="65"/>
      <c r="AB130" s="60"/>
      <c r="AC130" s="1380"/>
      <c r="AD130" s="59"/>
      <c r="AE130" s="60"/>
      <c r="AF130" s="60"/>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0"/>
      <c r="BW130" s="60"/>
      <c r="BX130" s="60"/>
      <c r="BY130" s="60"/>
      <c r="BZ130" s="60"/>
      <c r="CA130" s="60"/>
      <c r="CB130" s="60"/>
      <c r="CC130" s="60"/>
      <c r="CD130" s="60"/>
      <c r="CE130" s="60"/>
    </row>
    <row r="131" spans="1:83" ht="11.25" hidden="1" customHeight="1">
      <c r="A131" s="119"/>
      <c r="B131" s="65"/>
      <c r="C131" s="65"/>
      <c r="D131" s="1500"/>
      <c r="E131" s="359"/>
      <c r="F131" s="359">
        <v>0</v>
      </c>
      <c r="G131" s="359"/>
      <c r="H131" s="359"/>
      <c r="I131" s="359"/>
      <c r="J131" s="359"/>
      <c r="K131" s="359"/>
      <c r="L131" s="359"/>
      <c r="M131" s="359"/>
      <c r="N131" s="359"/>
      <c r="O131" s="359"/>
      <c r="P131" s="359"/>
      <c r="Q131" s="359"/>
      <c r="R131" s="359"/>
      <c r="S131" s="314"/>
      <c r="T131" s="412"/>
      <c r="U131" s="1287"/>
      <c r="V131" s="1287"/>
      <c r="W131" s="65"/>
      <c r="X131" s="65"/>
      <c r="Y131" s="65"/>
      <c r="Z131" s="65"/>
      <c r="AA131" s="65"/>
      <c r="AB131" s="60"/>
      <c r="AC131" s="1380"/>
      <c r="AD131" s="59"/>
      <c r="AE131" s="60"/>
      <c r="AF131" s="60"/>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row>
    <row r="132" spans="1:83" ht="11.25" customHeight="1">
      <c r="A132" s="298"/>
      <c r="B132" s="60"/>
      <c r="C132" s="232"/>
      <c r="D132" s="1500"/>
      <c r="E132" s="181" t="s">
        <v>28</v>
      </c>
      <c r="F132" s="107" t="s">
        <v>28</v>
      </c>
      <c r="G132" s="107" t="s">
        <v>1931</v>
      </c>
      <c r="H132" s="51" t="s">
        <v>28</v>
      </c>
      <c r="I132" s="51"/>
      <c r="J132" s="51"/>
      <c r="K132" s="51"/>
      <c r="L132" s="51"/>
      <c r="M132" s="51"/>
      <c r="N132" s="51"/>
      <c r="O132" s="51"/>
      <c r="P132" s="51"/>
      <c r="Q132" s="51"/>
      <c r="R132" s="349"/>
      <c r="S132" s="368"/>
      <c r="T132" s="412"/>
      <c r="U132" s="1287"/>
      <c r="V132" s="1287"/>
      <c r="W132" s="60"/>
      <c r="X132" s="60"/>
      <c r="Y132" s="60"/>
      <c r="Z132" s="60"/>
      <c r="AA132" s="65"/>
      <c r="AB132" s="60"/>
      <c r="AC132" s="1380"/>
      <c r="AD132" s="59"/>
      <c r="AE132" s="60"/>
      <c r="AF132" s="60"/>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0"/>
      <c r="BW132" s="60"/>
      <c r="BX132" s="60"/>
      <c r="BY132" s="60"/>
      <c r="BZ132" s="60"/>
      <c r="CA132" s="60"/>
      <c r="CB132" s="60"/>
      <c r="CC132" s="60"/>
      <c r="CD132" s="60"/>
      <c r="CE132" s="60"/>
    </row>
    <row r="133" spans="1:83" s="101" customFormat="1" ht="5.25" hidden="1" customHeight="1">
      <c r="A133" s="119"/>
      <c r="B133" s="65"/>
      <c r="C133" s="65"/>
      <c r="D133" s="1500"/>
      <c r="E133" s="608"/>
      <c r="F133" s="608"/>
      <c r="G133" s="608"/>
      <c r="H133" s="608"/>
      <c r="I133" s="608"/>
      <c r="J133" s="608"/>
      <c r="K133" s="608"/>
      <c r="L133" s="608"/>
      <c r="M133" s="608"/>
      <c r="N133" s="608"/>
      <c r="O133" s="608"/>
      <c r="P133" s="608"/>
      <c r="Q133" s="609"/>
      <c r="R133" s="610"/>
      <c r="S133" s="359"/>
      <c r="T133" s="411" t="s">
        <v>611</v>
      </c>
      <c r="U133" s="1287">
        <v>1</v>
      </c>
      <c r="V133" s="1287" t="s">
        <v>574</v>
      </c>
      <c r="W133" s="65"/>
      <c r="X133" s="65"/>
      <c r="Y133" s="65"/>
      <c r="Z133" s="65"/>
      <c r="AA133" s="65"/>
      <c r="AB133" s="65"/>
      <c r="AC133" s="607"/>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c r="CD133" s="65"/>
      <c r="CE133" s="65"/>
    </row>
    <row r="134" spans="1:83" s="101" customFormat="1" ht="5.25" hidden="1" customHeight="1">
      <c r="A134" s="119"/>
      <c r="B134" s="65"/>
      <c r="C134" s="65"/>
      <c r="D134" s="1500"/>
      <c r="E134" s="359"/>
      <c r="F134" s="359"/>
      <c r="G134" s="359"/>
      <c r="H134" s="359"/>
      <c r="I134" s="359"/>
      <c r="J134" s="359"/>
      <c r="K134" s="359"/>
      <c r="L134" s="359"/>
      <c r="M134" s="359"/>
      <c r="N134" s="359"/>
      <c r="O134" s="359"/>
      <c r="P134" s="359"/>
      <c r="Q134" s="359"/>
      <c r="R134" s="359"/>
      <c r="S134" s="314"/>
      <c r="T134" s="412"/>
      <c r="U134" s="1287"/>
      <c r="V134" s="1287"/>
      <c r="W134" s="65"/>
      <c r="X134" s="65"/>
      <c r="Y134" s="65"/>
      <c r="Z134" s="65"/>
      <c r="AA134" s="65"/>
      <c r="AB134" s="65"/>
      <c r="AC134" s="607"/>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c r="BY134" s="65"/>
      <c r="BZ134" s="65"/>
      <c r="CA134" s="65"/>
      <c r="CB134" s="65"/>
      <c r="CC134" s="65"/>
      <c r="CD134" s="65"/>
      <c r="CE134" s="65"/>
    </row>
    <row r="135" spans="1:83" s="101" customFormat="1" ht="5.25" hidden="1" customHeight="1">
      <c r="A135" s="119"/>
      <c r="B135" s="65"/>
      <c r="C135" s="65"/>
      <c r="D135" s="1501"/>
      <c r="E135" s="611"/>
      <c r="F135" s="612"/>
      <c r="G135" s="612"/>
      <c r="H135" s="613"/>
      <c r="I135" s="613"/>
      <c r="J135" s="613"/>
      <c r="K135" s="613"/>
      <c r="L135" s="613"/>
      <c r="M135" s="613"/>
      <c r="N135" s="613"/>
      <c r="O135" s="613"/>
      <c r="P135" s="613"/>
      <c r="Q135" s="613"/>
      <c r="R135" s="540"/>
      <c r="S135" s="614"/>
      <c r="T135" s="412"/>
      <c r="U135" s="1287"/>
      <c r="V135" s="1287"/>
      <c r="W135" s="65"/>
      <c r="X135" s="65"/>
      <c r="Y135" s="65"/>
      <c r="Z135" s="65"/>
      <c r="AA135" s="65"/>
      <c r="AB135" s="65"/>
      <c r="AC135" s="607"/>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5"/>
      <c r="BZ135" s="65"/>
      <c r="CA135" s="65"/>
      <c r="CB135" s="65"/>
      <c r="CC135" s="65"/>
      <c r="CD135" s="65"/>
      <c r="CE135" s="65"/>
    </row>
    <row r="136" spans="1:83" ht="17.25" customHeight="1">
      <c r="D136" s="994"/>
    </row>
    <row r="137" spans="1:83" s="983" customFormat="1" ht="11.25" customHeight="1">
      <c r="A137" s="983" t="s">
        <v>1933</v>
      </c>
    </row>
    <row r="139" spans="1:83" ht="45" customHeight="1">
      <c r="A139" s="298"/>
      <c r="B139" s="60"/>
      <c r="C139" s="232"/>
      <c r="E139" s="1504"/>
      <c r="F139" s="1157" t="s">
        <v>107</v>
      </c>
      <c r="G139" s="1507" t="s">
        <v>28</v>
      </c>
      <c r="H139" s="64"/>
      <c r="I139" s="360" t="s">
        <v>107</v>
      </c>
      <c r="J139" s="120" t="s">
        <v>1934</v>
      </c>
      <c r="K139" s="145" t="s">
        <v>545</v>
      </c>
      <c r="L139" s="1250" t="s">
        <v>545</v>
      </c>
      <c r="M139" s="1203"/>
      <c r="N139" s="145" t="s">
        <v>545</v>
      </c>
      <c r="O139" s="145" t="s">
        <v>545</v>
      </c>
      <c r="P139" s="145" t="s">
        <v>545</v>
      </c>
      <c r="Q139" s="361">
        <f>SUM(Q140:Q142)</f>
        <v>0</v>
      </c>
      <c r="R139" s="361">
        <f>IF(R136=0,0,(Q136/R136)*100)</f>
        <v>0</v>
      </c>
      <c r="S139" s="1226"/>
      <c r="T139" s="411" t="s">
        <v>611</v>
      </c>
    </row>
    <row r="140" spans="1:83" ht="11.25" customHeight="1">
      <c r="A140" s="298"/>
      <c r="B140" s="60"/>
      <c r="C140" s="232"/>
      <c r="E140" s="1505"/>
      <c r="F140" s="1157"/>
      <c r="G140" s="1507"/>
      <c r="H140" s="1146"/>
      <c r="I140" s="1435" t="s">
        <v>1020</v>
      </c>
      <c r="J140" s="1502"/>
      <c r="K140" s="1503"/>
      <c r="L140" s="102"/>
      <c r="M140" s="362" t="s">
        <v>107</v>
      </c>
      <c r="N140" s="245"/>
      <c r="O140" s="363"/>
      <c r="P140" s="364"/>
      <c r="Q140" s="363"/>
      <c r="R140" s="365">
        <v>0</v>
      </c>
      <c r="S140" s="1226"/>
      <c r="T140" s="411"/>
    </row>
    <row r="141" spans="1:83" ht="11.25" customHeight="1">
      <c r="A141" s="298"/>
      <c r="B141" s="60"/>
      <c r="C141" s="232"/>
      <c r="E141" s="1505"/>
      <c r="F141" s="1157"/>
      <c r="G141" s="1507"/>
      <c r="H141" s="1146"/>
      <c r="I141" s="1435"/>
      <c r="J141" s="1502"/>
      <c r="K141" s="1498"/>
      <c r="L141" s="366"/>
      <c r="M141" s="367"/>
      <c r="N141" s="51" t="s">
        <v>1935</v>
      </c>
      <c r="O141" s="51"/>
      <c r="P141" s="51"/>
      <c r="Q141" s="51"/>
      <c r="R141" s="349"/>
      <c r="S141" s="1226"/>
      <c r="T141" s="411"/>
    </row>
    <row r="142" spans="1:83" ht="11.25" customHeight="1">
      <c r="A142" s="298"/>
      <c r="B142" s="60"/>
      <c r="C142" s="232"/>
      <c r="E142" s="1506"/>
      <c r="F142" s="1157"/>
      <c r="G142" s="1508"/>
      <c r="H142" s="366" t="s">
        <v>28</v>
      </c>
      <c r="I142" s="367"/>
      <c r="J142" s="51" t="s">
        <v>1936</v>
      </c>
      <c r="K142" s="51"/>
      <c r="L142" s="51"/>
      <c r="M142" s="51"/>
      <c r="N142" s="51"/>
      <c r="O142" s="51"/>
      <c r="P142" s="51"/>
      <c r="Q142" s="51"/>
      <c r="R142" s="349"/>
      <c r="S142" s="1226"/>
      <c r="T142" s="411"/>
    </row>
    <row r="147" spans="1:43" ht="11.25" customHeight="1">
      <c r="A147" s="298"/>
      <c r="B147" s="60"/>
      <c r="C147" s="232"/>
      <c r="E147" s="989"/>
      <c r="F147" s="989"/>
      <c r="G147" s="989"/>
      <c r="H147" s="1146"/>
      <c r="I147" s="1435" t="s">
        <v>1020</v>
      </c>
      <c r="J147" s="1502"/>
      <c r="K147" s="1503"/>
      <c r="L147" s="102"/>
      <c r="M147" s="362" t="s">
        <v>107</v>
      </c>
      <c r="N147" s="245"/>
      <c r="O147" s="363"/>
      <c r="P147" s="364"/>
      <c r="Q147" s="363"/>
      <c r="R147" s="365">
        <v>0</v>
      </c>
      <c r="T147" s="411"/>
    </row>
    <row r="148" spans="1:43" ht="11.25" customHeight="1">
      <c r="A148" s="298"/>
      <c r="B148" s="60"/>
      <c r="C148" s="232"/>
      <c r="E148" s="989"/>
      <c r="F148" s="989"/>
      <c r="G148" s="989"/>
      <c r="H148" s="1146"/>
      <c r="I148" s="1435"/>
      <c r="J148" s="1502"/>
      <c r="K148" s="1498"/>
      <c r="L148" s="366"/>
      <c r="M148" s="367"/>
      <c r="N148" s="51" t="s">
        <v>1935</v>
      </c>
      <c r="O148" s="51"/>
      <c r="P148" s="51"/>
      <c r="Q148" s="51"/>
      <c r="R148" s="349"/>
      <c r="T148" s="411"/>
    </row>
    <row r="150" spans="1:43" ht="11.25" customHeight="1">
      <c r="A150" s="298"/>
      <c r="B150" s="60"/>
      <c r="C150" s="232"/>
      <c r="E150" s="995"/>
      <c r="H150" s="207"/>
      <c r="I150" s="989"/>
      <c r="J150" s="990"/>
      <c r="K150" s="990"/>
      <c r="L150" s="102"/>
      <c r="M150" s="362" t="s">
        <v>107</v>
      </c>
      <c r="N150" s="245"/>
      <c r="O150" s="363"/>
      <c r="P150" s="364"/>
      <c r="Q150" s="363"/>
      <c r="R150" s="365">
        <v>0</v>
      </c>
      <c r="T150" s="411"/>
    </row>
    <row r="152" spans="1:43" s="983" customFormat="1" ht="17.25" customHeight="1">
      <c r="A152" s="983" t="s">
        <v>1937</v>
      </c>
    </row>
    <row r="153" spans="1:43" ht="17.25" customHeight="1">
      <c r="G153" s="996"/>
      <c r="H153" s="996"/>
      <c r="I153" s="996"/>
    </row>
    <row r="154" spans="1:43" s="34" customFormat="1" ht="17.25" customHeight="1">
      <c r="A154" s="185"/>
      <c r="C154" s="74"/>
      <c r="D154" s="1209"/>
      <c r="E154" s="1168"/>
      <c r="F154" s="1181"/>
      <c r="G154" s="1204"/>
      <c r="H154" s="1209"/>
      <c r="I154" s="1209">
        <v>1</v>
      </c>
      <c r="J154" s="1210"/>
      <c r="K154" s="1212" t="s">
        <v>64</v>
      </c>
      <c r="L154" s="1157"/>
      <c r="M154" s="1157" t="s">
        <v>107</v>
      </c>
      <c r="N154" s="1206" t="str">
        <f>IF(Z154="","",INDEX(TERRITORY_MR_LIST,MATCH(Z154,TERRITORY_LIST_ID,0)))</f>
        <v/>
      </c>
      <c r="O154" s="1212" t="s">
        <v>64</v>
      </c>
      <c r="P154" s="1157"/>
      <c r="Q154" s="1157" t="s">
        <v>107</v>
      </c>
      <c r="R154" s="1498" t="s">
        <v>28</v>
      </c>
      <c r="S154" s="1156" t="s">
        <v>64</v>
      </c>
      <c r="T154" s="42"/>
      <c r="U154" s="42" t="s">
        <v>107</v>
      </c>
      <c r="V154" s="245" t="s">
        <v>28</v>
      </c>
      <c r="W154" s="36"/>
      <c r="Y154" s="728"/>
      <c r="Z154" s="728"/>
      <c r="AA154" s="728"/>
      <c r="AB154" s="728"/>
      <c r="AC154" s="728"/>
      <c r="AD154" s="728"/>
      <c r="AE154" s="728"/>
      <c r="AF154" s="728"/>
      <c r="AG154" s="728"/>
      <c r="AH154" s="728"/>
      <c r="AI154" s="728"/>
      <c r="AJ154" s="728"/>
      <c r="AK154" s="728"/>
      <c r="AL154" s="141"/>
      <c r="AM154" s="141"/>
      <c r="AN154" s="728"/>
      <c r="AO154" s="728"/>
      <c r="AP154" s="728"/>
      <c r="AQ154" s="728"/>
    </row>
    <row r="155" spans="1:43" s="34" customFormat="1" ht="17.25" customHeight="1">
      <c r="A155" s="185"/>
      <c r="D155" s="1209"/>
      <c r="E155" s="1168"/>
      <c r="F155" s="1182"/>
      <c r="G155" s="1204"/>
      <c r="H155" s="1209"/>
      <c r="I155" s="1209"/>
      <c r="J155" s="1210"/>
      <c r="K155" s="1213"/>
      <c r="L155" s="1157"/>
      <c r="M155" s="1157"/>
      <c r="N155" s="1206"/>
      <c r="O155" s="1213"/>
      <c r="P155" s="1157"/>
      <c r="Q155" s="1157"/>
      <c r="R155" s="1498"/>
      <c r="S155" s="1156"/>
      <c r="T155" s="182"/>
      <c r="U155" s="183"/>
      <c r="V155" s="183" t="s">
        <v>414</v>
      </c>
      <c r="W155" s="184"/>
      <c r="Y155" s="16"/>
      <c r="Z155" s="16"/>
      <c r="AA155" s="16"/>
      <c r="AB155" s="16"/>
      <c r="AC155" s="16"/>
      <c r="AD155" s="16"/>
      <c r="AE155" s="16"/>
      <c r="AF155" s="16"/>
      <c r="AG155" s="16"/>
      <c r="AH155" s="16"/>
      <c r="AI155" s="16"/>
      <c r="AJ155" s="16"/>
      <c r="AK155" s="16"/>
    </row>
    <row r="156" spans="1:43" s="34" customFormat="1" ht="17.25" customHeight="1">
      <c r="A156" s="185"/>
      <c r="D156" s="1180"/>
      <c r="E156" s="1169"/>
      <c r="F156" s="1182"/>
      <c r="G156" s="1205"/>
      <c r="H156" s="1180"/>
      <c r="I156" s="1180"/>
      <c r="J156" s="1211"/>
      <c r="K156" s="1213"/>
      <c r="L156" s="1180"/>
      <c r="M156" s="1180"/>
      <c r="N156" s="1207"/>
      <c r="O156" s="1161"/>
      <c r="P156" s="182"/>
      <c r="Q156" s="183"/>
      <c r="R156" s="183" t="s">
        <v>231</v>
      </c>
      <c r="S156" s="997"/>
      <c r="T156" s="997"/>
      <c r="U156" s="997"/>
      <c r="V156" s="997"/>
      <c r="W156" s="184"/>
      <c r="Y156" s="16"/>
      <c r="Z156" s="16"/>
      <c r="AA156" s="16"/>
      <c r="AB156" s="16"/>
      <c r="AC156" s="16"/>
      <c r="AD156" s="16"/>
      <c r="AE156" s="16"/>
      <c r="AF156" s="16"/>
      <c r="AG156" s="16"/>
      <c r="AH156" s="16"/>
      <c r="AI156" s="16"/>
      <c r="AJ156" s="16"/>
      <c r="AK156" s="16"/>
    </row>
    <row r="157" spans="1:43" s="34" customFormat="1" ht="17.25" customHeight="1">
      <c r="A157" s="185"/>
      <c r="D157" s="1180"/>
      <c r="E157" s="1169"/>
      <c r="F157" s="1182"/>
      <c r="G157" s="1205"/>
      <c r="H157" s="1180"/>
      <c r="I157" s="1180"/>
      <c r="J157" s="1211"/>
      <c r="K157" s="1161"/>
      <c r="L157" s="182"/>
      <c r="M157" s="183"/>
      <c r="N157" s="183" t="s">
        <v>232</v>
      </c>
      <c r="O157" s="183"/>
      <c r="P157" s="183"/>
      <c r="Q157" s="183"/>
      <c r="R157" s="183"/>
      <c r="S157" s="997"/>
      <c r="T157" s="997"/>
      <c r="U157" s="997"/>
      <c r="V157" s="997"/>
      <c r="W157" s="184"/>
      <c r="Y157" s="16"/>
      <c r="Z157" s="16"/>
      <c r="AA157" s="16"/>
      <c r="AB157" s="16"/>
      <c r="AC157" s="16"/>
      <c r="AD157" s="16"/>
      <c r="AE157" s="16"/>
      <c r="AF157" s="16"/>
      <c r="AG157" s="16"/>
      <c r="AH157" s="16"/>
      <c r="AI157" s="16"/>
      <c r="AJ157" s="16"/>
      <c r="AK157" s="16"/>
    </row>
    <row r="158" spans="1:43" s="34" customFormat="1" ht="17.25" customHeight="1">
      <c r="A158" s="185"/>
      <c r="D158" s="1180"/>
      <c r="E158" s="1169"/>
      <c r="F158" s="1183"/>
      <c r="G158" s="1205"/>
      <c r="H158" s="182"/>
      <c r="I158" s="183"/>
      <c r="J158" s="183" t="s">
        <v>233</v>
      </c>
      <c r="K158" s="183"/>
      <c r="L158" s="183"/>
      <c r="M158" s="183"/>
      <c r="N158" s="183"/>
      <c r="O158" s="183"/>
      <c r="P158" s="183"/>
      <c r="Q158" s="183"/>
      <c r="R158" s="183"/>
      <c r="S158" s="997"/>
      <c r="T158" s="997"/>
      <c r="U158" s="997"/>
      <c r="V158" s="997"/>
      <c r="W158" s="184"/>
      <c r="Y158" s="16"/>
      <c r="Z158" s="16"/>
      <c r="AA158" s="16"/>
      <c r="AB158" s="16"/>
      <c r="AC158" s="16"/>
      <c r="AD158" s="16"/>
      <c r="AE158" s="16"/>
      <c r="AF158" s="16"/>
      <c r="AG158" s="16"/>
      <c r="AH158" s="16"/>
      <c r="AI158" s="16"/>
      <c r="AJ158" s="16"/>
      <c r="AK158" s="16"/>
    </row>
    <row r="159" spans="1:43" ht="17.25" customHeight="1">
      <c r="G159" s="996"/>
      <c r="H159" s="996"/>
      <c r="I159" s="996"/>
    </row>
    <row r="160" spans="1:43" s="34" customFormat="1" ht="17.25" customHeight="1">
      <c r="A160" s="185"/>
      <c r="C160" s="74"/>
      <c r="D160" s="989"/>
      <c r="E160" s="998"/>
      <c r="F160" s="976"/>
      <c r="G160" s="999"/>
      <c r="H160" s="1209"/>
      <c r="I160" s="1209">
        <v>1</v>
      </c>
      <c r="J160" s="1210"/>
      <c r="K160" s="1212" t="s">
        <v>64</v>
      </c>
      <c r="L160" s="1157"/>
      <c r="M160" s="1157" t="s">
        <v>107</v>
      </c>
      <c r="N160" s="1206" t="str">
        <f>IF(Z160="","",INDEX(TERRITORY_MR_LIST,MATCH(Z160,TERRITORY_LIST_ID,0)))</f>
        <v/>
      </c>
      <c r="O160" s="1212" t="s">
        <v>64</v>
      </c>
      <c r="P160" s="1157"/>
      <c r="Q160" s="1157" t="s">
        <v>107</v>
      </c>
      <c r="R160" s="1498" t="s">
        <v>28</v>
      </c>
      <c r="S160" s="1156" t="s">
        <v>64</v>
      </c>
      <c r="T160" s="42"/>
      <c r="U160" s="42" t="s">
        <v>107</v>
      </c>
      <c r="V160" s="245" t="s">
        <v>28</v>
      </c>
      <c r="W160" s="36"/>
      <c r="Y160" s="728"/>
      <c r="Z160" s="728"/>
      <c r="AA160" s="728"/>
      <c r="AB160" s="728"/>
      <c r="AC160" s="728"/>
      <c r="AD160" s="728"/>
      <c r="AE160" s="728"/>
      <c r="AF160" s="728"/>
      <c r="AG160" s="728"/>
      <c r="AH160" s="728"/>
      <c r="AI160" s="728"/>
      <c r="AJ160" s="728"/>
      <c r="AK160" s="728"/>
      <c r="AL160" s="141"/>
      <c r="AM160" s="141"/>
      <c r="AN160" s="728"/>
      <c r="AO160" s="728"/>
      <c r="AP160" s="728"/>
      <c r="AQ160" s="728"/>
    </row>
    <row r="161" spans="1:43" s="34" customFormat="1" ht="17.25" customHeight="1">
      <c r="A161" s="185"/>
      <c r="D161" s="989"/>
      <c r="E161" s="998"/>
      <c r="F161" s="976"/>
      <c r="G161" s="999"/>
      <c r="H161" s="1209"/>
      <c r="I161" s="1209"/>
      <c r="J161" s="1210"/>
      <c r="K161" s="1213"/>
      <c r="L161" s="1157"/>
      <c r="M161" s="1157"/>
      <c r="N161" s="1206"/>
      <c r="O161" s="1213"/>
      <c r="P161" s="1157"/>
      <c r="Q161" s="1157"/>
      <c r="R161" s="1498"/>
      <c r="S161" s="1156"/>
      <c r="T161" s="182"/>
      <c r="U161" s="183"/>
      <c r="V161" s="183" t="s">
        <v>414</v>
      </c>
      <c r="W161" s="184"/>
      <c r="Y161" s="16"/>
      <c r="Z161" s="16"/>
      <c r="AA161" s="16"/>
      <c r="AB161" s="16"/>
      <c r="AC161" s="16"/>
      <c r="AD161" s="16"/>
      <c r="AE161" s="16"/>
      <c r="AF161" s="16"/>
      <c r="AG161" s="16"/>
      <c r="AH161" s="16"/>
      <c r="AI161" s="16"/>
      <c r="AJ161" s="16"/>
      <c r="AK161" s="16"/>
    </row>
    <row r="162" spans="1:43" s="34" customFormat="1" ht="17.25" customHeight="1">
      <c r="A162" s="185"/>
      <c r="D162" s="989"/>
      <c r="E162" s="998"/>
      <c r="F162" s="976"/>
      <c r="G162" s="999"/>
      <c r="H162" s="1180"/>
      <c r="I162" s="1180"/>
      <c r="J162" s="1211"/>
      <c r="K162" s="1213"/>
      <c r="L162" s="1180"/>
      <c r="M162" s="1180"/>
      <c r="N162" s="1207"/>
      <c r="O162" s="1161"/>
      <c r="P162" s="182"/>
      <c r="Q162" s="183"/>
      <c r="R162" s="183" t="s">
        <v>231</v>
      </c>
      <c r="S162" s="997"/>
      <c r="T162" s="997"/>
      <c r="U162" s="997"/>
      <c r="V162" s="997"/>
      <c r="W162" s="184"/>
      <c r="Y162" s="16"/>
      <c r="Z162" s="16"/>
      <c r="AA162" s="16"/>
      <c r="AB162" s="16"/>
      <c r="AC162" s="16"/>
      <c r="AD162" s="16"/>
      <c r="AE162" s="16"/>
      <c r="AF162" s="16"/>
      <c r="AG162" s="16"/>
      <c r="AH162" s="16"/>
      <c r="AI162" s="16"/>
      <c r="AJ162" s="16"/>
      <c r="AK162" s="16"/>
    </row>
    <row r="163" spans="1:43" s="34" customFormat="1" ht="17.25" customHeight="1">
      <c r="A163" s="185"/>
      <c r="D163" s="989"/>
      <c r="E163" s="998"/>
      <c r="F163" s="976"/>
      <c r="G163" s="999"/>
      <c r="H163" s="1180"/>
      <c r="I163" s="1180"/>
      <c r="J163" s="1211"/>
      <c r="K163" s="1161"/>
      <c r="L163" s="182"/>
      <c r="M163" s="183"/>
      <c r="N163" s="183" t="s">
        <v>232</v>
      </c>
      <c r="O163" s="183"/>
      <c r="P163" s="183"/>
      <c r="Q163" s="183"/>
      <c r="R163" s="183"/>
      <c r="S163" s="997"/>
      <c r="T163" s="997"/>
      <c r="U163" s="997"/>
      <c r="V163" s="997"/>
      <c r="W163" s="184"/>
      <c r="Y163" s="16"/>
      <c r="Z163" s="16"/>
      <c r="AA163" s="16"/>
      <c r="AB163" s="16"/>
      <c r="AC163" s="16"/>
      <c r="AD163" s="16"/>
      <c r="AE163" s="16"/>
      <c r="AF163" s="16"/>
      <c r="AG163" s="16"/>
      <c r="AH163" s="16"/>
      <c r="AI163" s="16"/>
      <c r="AJ163" s="16"/>
      <c r="AK163" s="16"/>
    </row>
    <row r="164" spans="1:43" ht="17.25" customHeight="1">
      <c r="G164" s="996"/>
      <c r="H164" s="996"/>
      <c r="I164" s="996"/>
    </row>
    <row r="165" spans="1:43" s="34" customFormat="1" ht="17.25" customHeight="1">
      <c r="A165" s="185"/>
      <c r="C165" s="74"/>
      <c r="D165" s="989"/>
      <c r="E165" s="998"/>
      <c r="F165" s="976"/>
      <c r="G165" s="999"/>
      <c r="H165" s="989"/>
      <c r="I165" s="989"/>
      <c r="J165" s="1000"/>
      <c r="K165" s="967"/>
      <c r="L165" s="1157"/>
      <c r="M165" s="1157" t="s">
        <v>107</v>
      </c>
      <c r="N165" s="1206" t="str">
        <f>IF(Z165="","",INDEX(TERRITORY_MR_LIST,MATCH(Z165,TERRITORY_LIST_ID,0)))</f>
        <v/>
      </c>
      <c r="O165" s="1212" t="s">
        <v>64</v>
      </c>
      <c r="P165" s="1157"/>
      <c r="Q165" s="1157" t="s">
        <v>107</v>
      </c>
      <c r="R165" s="1498" t="s">
        <v>28</v>
      </c>
      <c r="S165" s="1156" t="s">
        <v>64</v>
      </c>
      <c r="T165" s="42"/>
      <c r="U165" s="42" t="s">
        <v>107</v>
      </c>
      <c r="V165" s="245" t="s">
        <v>28</v>
      </c>
      <c r="W165" s="36"/>
      <c r="Y165" s="728"/>
      <c r="Z165" s="728"/>
      <c r="AA165" s="728"/>
      <c r="AB165" s="728"/>
      <c r="AC165" s="728"/>
      <c r="AD165" s="728"/>
      <c r="AE165" s="728"/>
      <c r="AF165" s="728"/>
      <c r="AG165" s="728"/>
      <c r="AH165" s="728"/>
      <c r="AI165" s="728"/>
      <c r="AJ165" s="728"/>
      <c r="AK165" s="728"/>
      <c r="AL165" s="141"/>
      <c r="AM165" s="141"/>
      <c r="AN165" s="728"/>
      <c r="AO165" s="728"/>
      <c r="AP165" s="728"/>
      <c r="AQ165" s="728"/>
    </row>
    <row r="166" spans="1:43" s="34" customFormat="1" ht="17.25" customHeight="1">
      <c r="A166" s="185"/>
      <c r="D166" s="989"/>
      <c r="E166" s="998"/>
      <c r="F166" s="976"/>
      <c r="G166" s="999"/>
      <c r="H166" s="989"/>
      <c r="I166" s="989"/>
      <c r="J166" s="1000"/>
      <c r="K166" s="967"/>
      <c r="L166" s="1157"/>
      <c r="M166" s="1157"/>
      <c r="N166" s="1206"/>
      <c r="O166" s="1213"/>
      <c r="P166" s="1157"/>
      <c r="Q166" s="1157"/>
      <c r="R166" s="1498"/>
      <c r="S166" s="1156"/>
      <c r="T166" s="182"/>
      <c r="U166" s="183"/>
      <c r="V166" s="183" t="s">
        <v>414</v>
      </c>
      <c r="W166" s="184"/>
      <c r="Y166" s="16"/>
      <c r="Z166" s="16"/>
      <c r="AA166" s="16"/>
      <c r="AB166" s="16"/>
      <c r="AC166" s="16"/>
      <c r="AD166" s="16"/>
      <c r="AE166" s="16"/>
      <c r="AF166" s="16"/>
      <c r="AG166" s="16"/>
      <c r="AH166" s="16"/>
      <c r="AI166" s="16"/>
      <c r="AJ166" s="16"/>
      <c r="AK166" s="16"/>
    </row>
    <row r="167" spans="1:43" s="34" customFormat="1" ht="17.25" customHeight="1">
      <c r="A167" s="185"/>
      <c r="D167" s="989"/>
      <c r="E167" s="998"/>
      <c r="F167" s="976"/>
      <c r="G167" s="999"/>
      <c r="H167" s="989"/>
      <c r="I167" s="989"/>
      <c r="J167" s="1000"/>
      <c r="K167" s="967"/>
      <c r="L167" s="1180"/>
      <c r="M167" s="1180"/>
      <c r="N167" s="1207"/>
      <c r="O167" s="1161"/>
      <c r="P167" s="182"/>
      <c r="Q167" s="183"/>
      <c r="R167" s="183" t="s">
        <v>231</v>
      </c>
      <c r="S167" s="997"/>
      <c r="T167" s="997"/>
      <c r="U167" s="997"/>
      <c r="V167" s="997"/>
      <c r="W167" s="184"/>
      <c r="Y167" s="16"/>
      <c r="Z167" s="16"/>
      <c r="AA167" s="16"/>
      <c r="AB167" s="16"/>
      <c r="AC167" s="16"/>
      <c r="AD167" s="16"/>
      <c r="AE167" s="16"/>
      <c r="AF167" s="16"/>
      <c r="AG167" s="16"/>
      <c r="AH167" s="16"/>
      <c r="AI167" s="16"/>
      <c r="AJ167" s="16"/>
      <c r="AK167" s="16"/>
    </row>
    <row r="168" spans="1:43" ht="17.25" customHeight="1">
      <c r="G168" s="996"/>
      <c r="H168" s="996"/>
      <c r="I168" s="996"/>
    </row>
    <row r="169" spans="1:43" s="34" customFormat="1" ht="17.25" customHeight="1">
      <c r="A169" s="185"/>
      <c r="C169" s="74"/>
      <c r="D169" s="989"/>
      <c r="E169" s="998"/>
      <c r="F169" s="976"/>
      <c r="G169" s="999"/>
      <c r="H169" s="989"/>
      <c r="I169" s="989"/>
      <c r="J169" s="1000"/>
      <c r="K169" s="967"/>
      <c r="L169" s="868"/>
      <c r="M169" s="868"/>
      <c r="N169" s="1081"/>
      <c r="O169" s="977"/>
      <c r="P169" s="1157"/>
      <c r="Q169" s="1157" t="s">
        <v>107</v>
      </c>
      <c r="R169" s="1498" t="s">
        <v>28</v>
      </c>
      <c r="S169" s="1156" t="s">
        <v>64</v>
      </c>
      <c r="T169" s="42"/>
      <c r="U169" s="42" t="s">
        <v>107</v>
      </c>
      <c r="V169" s="245" t="s">
        <v>28</v>
      </c>
      <c r="W169" s="36"/>
      <c r="Y169" s="728"/>
      <c r="Z169" s="728"/>
      <c r="AA169" s="728"/>
      <c r="AB169" s="728"/>
      <c r="AC169" s="728"/>
      <c r="AD169" s="728"/>
      <c r="AE169" s="728"/>
      <c r="AF169" s="728"/>
      <c r="AG169" s="728"/>
      <c r="AH169" s="728"/>
      <c r="AI169" s="728"/>
      <c r="AJ169" s="728"/>
      <c r="AK169" s="728"/>
      <c r="AL169" s="141"/>
      <c r="AM169" s="141"/>
      <c r="AN169" s="728"/>
      <c r="AO169" s="728"/>
      <c r="AP169" s="728"/>
      <c r="AQ169" s="728"/>
    </row>
    <row r="170" spans="1:43" s="34" customFormat="1" ht="17.25" customHeight="1">
      <c r="A170" s="185"/>
      <c r="D170" s="989"/>
      <c r="E170" s="998"/>
      <c r="F170" s="976"/>
      <c r="G170" s="999"/>
      <c r="H170" s="989"/>
      <c r="I170" s="989"/>
      <c r="J170" s="1000"/>
      <c r="K170" s="967"/>
      <c r="L170" s="868"/>
      <c r="M170" s="868"/>
      <c r="N170" s="1081"/>
      <c r="O170" s="977"/>
      <c r="P170" s="1157"/>
      <c r="Q170" s="1157"/>
      <c r="R170" s="1498"/>
      <c r="S170" s="1156"/>
      <c r="T170" s="182"/>
      <c r="U170" s="183"/>
      <c r="V170" s="183" t="s">
        <v>414</v>
      </c>
      <c r="W170" s="184"/>
      <c r="Y170" s="16"/>
      <c r="Z170" s="16"/>
      <c r="AA170" s="16"/>
      <c r="AB170" s="16"/>
      <c r="AC170" s="16"/>
      <c r="AD170" s="16"/>
      <c r="AE170" s="16"/>
      <c r="AF170" s="16"/>
      <c r="AG170" s="16"/>
      <c r="AH170" s="16"/>
      <c r="AI170" s="16"/>
      <c r="AJ170" s="16"/>
      <c r="AK170" s="16"/>
    </row>
    <row r="171" spans="1:43" ht="17.25" customHeight="1">
      <c r="G171" s="996"/>
      <c r="H171" s="996"/>
      <c r="I171" s="996"/>
    </row>
    <row r="172" spans="1:43" s="34" customFormat="1" ht="17.25" customHeight="1">
      <c r="A172" s="185"/>
      <c r="C172" s="74"/>
      <c r="D172" s="989"/>
      <c r="E172" s="998"/>
      <c r="F172" s="976"/>
      <c r="G172" s="999"/>
      <c r="H172" s="868"/>
      <c r="I172" s="868"/>
      <c r="J172" s="964"/>
      <c r="K172" s="999"/>
      <c r="L172" s="868"/>
      <c r="M172" s="868"/>
      <c r="N172" s="999"/>
      <c r="O172" s="999"/>
      <c r="P172" s="868"/>
      <c r="Q172" s="868"/>
      <c r="R172" s="965"/>
      <c r="S172" s="999"/>
      <c r="T172" s="42"/>
      <c r="U172" s="42" t="s">
        <v>107</v>
      </c>
      <c r="V172" s="245" t="s">
        <v>28</v>
      </c>
      <c r="W172" s="36"/>
      <c r="Y172" s="728"/>
      <c r="Z172" s="728"/>
      <c r="AA172" s="728"/>
      <c r="AB172" s="728"/>
      <c r="AC172" s="728"/>
      <c r="AD172" s="728"/>
      <c r="AE172" s="728"/>
      <c r="AF172" s="728"/>
      <c r="AG172" s="728"/>
      <c r="AH172" s="728"/>
      <c r="AI172" s="728"/>
      <c r="AJ172" s="728"/>
      <c r="AK172" s="728"/>
      <c r="AL172" s="141"/>
      <c r="AM172" s="141"/>
      <c r="AN172" s="728"/>
      <c r="AO172" s="728"/>
      <c r="AP172" s="728"/>
      <c r="AQ172" s="728"/>
    </row>
    <row r="174" spans="1:43" s="983" customFormat="1" ht="17.25" customHeight="1">
      <c r="A174" s="983" t="s">
        <v>1938</v>
      </c>
    </row>
    <row r="175" spans="1:43" ht="17.25" customHeight="1">
      <c r="G175" s="996"/>
      <c r="H175" s="996"/>
      <c r="I175" s="996"/>
    </row>
    <row r="176" spans="1:43" s="34" customFormat="1" ht="17.25" customHeight="1">
      <c r="A176" s="185"/>
      <c r="C176" s="74"/>
      <c r="D176" s="1209"/>
      <c r="E176" s="1168"/>
      <c r="F176" s="1181"/>
      <c r="G176" s="1204"/>
      <c r="H176" s="1209"/>
      <c r="I176" s="1209">
        <v>1</v>
      </c>
      <c r="J176" s="1210"/>
      <c r="K176" s="1212" t="s">
        <v>64</v>
      </c>
      <c r="L176" s="1157"/>
      <c r="M176" s="1157" t="s">
        <v>107</v>
      </c>
      <c r="N176" s="1206" t="str">
        <f>IF(Z176="","",INDEX(TERRITORY_MR_LIST,MATCH(Z176,TERRITORY_LIST_ID,0)))</f>
        <v/>
      </c>
      <c r="O176" s="1212" t="s">
        <v>64</v>
      </c>
      <c r="P176" s="1157"/>
      <c r="Q176" s="1157" t="s">
        <v>107</v>
      </c>
      <c r="R176" s="1498" t="s">
        <v>28</v>
      </c>
      <c r="S176" s="1208" t="s">
        <v>19</v>
      </c>
      <c r="T176" s="814"/>
      <c r="U176" s="814" t="s">
        <v>107</v>
      </c>
      <c r="V176" s="807"/>
      <c r="W176" s="1210"/>
      <c r="Y176" s="728"/>
      <c r="Z176" s="728"/>
      <c r="AA176" s="728"/>
      <c r="AB176" s="728"/>
      <c r="AC176" s="728"/>
      <c r="AD176" s="728"/>
      <c r="AE176" s="728"/>
      <c r="AF176" s="728"/>
      <c r="AG176" s="728"/>
      <c r="AH176" s="728"/>
      <c r="AI176" s="728"/>
      <c r="AJ176" s="728"/>
      <c r="AK176" s="728"/>
      <c r="AL176" s="141"/>
      <c r="AM176" s="141"/>
      <c r="AN176" s="728"/>
      <c r="AO176" s="728"/>
      <c r="AP176" s="728"/>
      <c r="AQ176" s="728"/>
    </row>
    <row r="177" spans="1:43" s="34" customFormat="1" ht="17.25" customHeight="1">
      <c r="A177" s="185"/>
      <c r="D177" s="1209"/>
      <c r="E177" s="1168"/>
      <c r="F177" s="1182"/>
      <c r="G177" s="1204"/>
      <c r="H177" s="1209"/>
      <c r="I177" s="1209"/>
      <c r="J177" s="1210"/>
      <c r="K177" s="1213"/>
      <c r="L177" s="1157"/>
      <c r="M177" s="1157"/>
      <c r="N177" s="1206"/>
      <c r="O177" s="1213"/>
      <c r="P177" s="1157"/>
      <c r="Q177" s="1157"/>
      <c r="R177" s="1498"/>
      <c r="S177" s="1208"/>
      <c r="T177" s="808"/>
      <c r="U177" s="809"/>
      <c r="V177" s="809"/>
      <c r="W177" s="1210"/>
      <c r="Y177" s="16"/>
      <c r="Z177" s="16"/>
      <c r="AA177" s="16"/>
      <c r="AB177" s="16"/>
      <c r="AC177" s="16"/>
      <c r="AD177" s="16"/>
      <c r="AE177" s="16"/>
      <c r="AF177" s="16"/>
      <c r="AG177" s="16"/>
      <c r="AH177" s="16"/>
      <c r="AI177" s="16"/>
      <c r="AJ177" s="16"/>
      <c r="AK177" s="16"/>
    </row>
    <row r="178" spans="1:43" s="34" customFormat="1" ht="17.25" customHeight="1">
      <c r="A178" s="185"/>
      <c r="D178" s="1180"/>
      <c r="E178" s="1169"/>
      <c r="F178" s="1182"/>
      <c r="G178" s="1205"/>
      <c r="H178" s="1180"/>
      <c r="I178" s="1180"/>
      <c r="J178" s="1211"/>
      <c r="K178" s="1213"/>
      <c r="L178" s="1180"/>
      <c r="M178" s="1180"/>
      <c r="N178" s="1207"/>
      <c r="O178" s="1161"/>
      <c r="P178" s="182"/>
      <c r="Q178" s="183"/>
      <c r="R178" s="183" t="s">
        <v>231</v>
      </c>
      <c r="S178" s="997"/>
      <c r="T178" s="997"/>
      <c r="U178" s="997"/>
      <c r="V178" s="997"/>
      <c r="W178" s="806"/>
      <c r="Y178" s="16"/>
      <c r="Z178" s="16"/>
      <c r="AA178" s="16"/>
      <c r="AB178" s="16"/>
      <c r="AC178" s="16"/>
      <c r="AD178" s="16"/>
      <c r="AE178" s="16"/>
      <c r="AF178" s="16"/>
      <c r="AG178" s="16"/>
      <c r="AH178" s="16"/>
      <c r="AI178" s="16"/>
      <c r="AJ178" s="16"/>
      <c r="AK178" s="16"/>
    </row>
    <row r="179" spans="1:43" s="34" customFormat="1" ht="17.25" customHeight="1">
      <c r="A179" s="185"/>
      <c r="D179" s="1180"/>
      <c r="E179" s="1169"/>
      <c r="F179" s="1182"/>
      <c r="G179" s="1205"/>
      <c r="H179" s="1180"/>
      <c r="I179" s="1180"/>
      <c r="J179" s="1211"/>
      <c r="K179" s="1161"/>
      <c r="L179" s="182"/>
      <c r="M179" s="183"/>
      <c r="N179" s="183" t="s">
        <v>232</v>
      </c>
      <c r="O179" s="183"/>
      <c r="P179" s="183"/>
      <c r="Q179" s="183"/>
      <c r="R179" s="183"/>
      <c r="S179" s="997"/>
      <c r="T179" s="997"/>
      <c r="U179" s="997"/>
      <c r="V179" s="997"/>
      <c r="W179" s="184"/>
      <c r="Y179" s="16"/>
      <c r="Z179" s="16"/>
      <c r="AA179" s="16"/>
      <c r="AB179" s="16"/>
      <c r="AC179" s="16"/>
      <c r="AD179" s="16"/>
      <c r="AE179" s="16"/>
      <c r="AF179" s="16"/>
      <c r="AG179" s="16"/>
      <c r="AH179" s="16"/>
      <c r="AI179" s="16"/>
      <c r="AJ179" s="16"/>
      <c r="AK179" s="16"/>
    </row>
    <row r="180" spans="1:43" s="34" customFormat="1" ht="17.25" customHeight="1">
      <c r="A180" s="185"/>
      <c r="D180" s="1180"/>
      <c r="E180" s="1169"/>
      <c r="F180" s="1183"/>
      <c r="G180" s="1205"/>
      <c r="H180" s="182"/>
      <c r="I180" s="183"/>
      <c r="J180" s="183" t="s">
        <v>233</v>
      </c>
      <c r="K180" s="183"/>
      <c r="L180" s="183"/>
      <c r="M180" s="183"/>
      <c r="N180" s="183"/>
      <c r="O180" s="183"/>
      <c r="P180" s="183"/>
      <c r="Q180" s="183"/>
      <c r="R180" s="183"/>
      <c r="S180" s="997"/>
      <c r="T180" s="997"/>
      <c r="U180" s="997"/>
      <c r="V180" s="997"/>
      <c r="W180" s="184"/>
      <c r="Y180" s="16"/>
      <c r="Z180" s="16"/>
      <c r="AA180" s="16"/>
      <c r="AB180" s="16"/>
      <c r="AC180" s="16"/>
      <c r="AD180" s="16"/>
      <c r="AE180" s="16"/>
      <c r="AF180" s="16"/>
      <c r="AG180" s="16"/>
      <c r="AH180" s="16"/>
      <c r="AI180" s="16"/>
      <c r="AJ180" s="16"/>
      <c r="AK180" s="16"/>
    </row>
    <row r="181" spans="1:43" ht="17.25" customHeight="1"/>
    <row r="182" spans="1:43" s="34" customFormat="1" ht="17.25" customHeight="1">
      <c r="A182" s="185"/>
      <c r="C182" s="74"/>
      <c r="D182" s="989"/>
      <c r="E182" s="998"/>
      <c r="F182" s="976"/>
      <c r="G182" s="999"/>
      <c r="H182" s="1209"/>
      <c r="I182" s="1209">
        <v>1</v>
      </c>
      <c r="J182" s="1210"/>
      <c r="K182" s="1212" t="s">
        <v>64</v>
      </c>
      <c r="L182" s="1157"/>
      <c r="M182" s="1157" t="s">
        <v>107</v>
      </c>
      <c r="N182" s="1206" t="str">
        <f>IF(Z182="","",INDEX(TERRITORY_MR_LIST,MATCH(Z182,TERRITORY_LIST_ID,0)))</f>
        <v/>
      </c>
      <c r="O182" s="1212" t="s">
        <v>64</v>
      </c>
      <c r="P182" s="1157"/>
      <c r="Q182" s="1157" t="s">
        <v>107</v>
      </c>
      <c r="R182" s="1498" t="s">
        <v>28</v>
      </c>
      <c r="S182" s="1208" t="s">
        <v>19</v>
      </c>
      <c r="T182" s="814"/>
      <c r="U182" s="814" t="s">
        <v>107</v>
      </c>
      <c r="V182" s="807"/>
      <c r="W182" s="1210"/>
      <c r="Y182" s="728"/>
      <c r="Z182" s="728"/>
      <c r="AA182" s="728"/>
      <c r="AB182" s="728"/>
      <c r="AC182" s="728"/>
      <c r="AD182" s="728"/>
      <c r="AE182" s="728"/>
      <c r="AF182" s="728"/>
      <c r="AG182" s="728"/>
      <c r="AH182" s="728"/>
      <c r="AI182" s="728"/>
      <c r="AJ182" s="728"/>
      <c r="AK182" s="728"/>
      <c r="AL182" s="141"/>
      <c r="AM182" s="141"/>
      <c r="AN182" s="728"/>
      <c r="AO182" s="728"/>
      <c r="AP182" s="728"/>
      <c r="AQ182" s="728"/>
    </row>
    <row r="183" spans="1:43" s="34" customFormat="1" ht="17.25" customHeight="1">
      <c r="A183" s="185"/>
      <c r="D183" s="989"/>
      <c r="E183" s="998"/>
      <c r="F183" s="976"/>
      <c r="G183" s="999"/>
      <c r="H183" s="1209"/>
      <c r="I183" s="1209"/>
      <c r="J183" s="1210"/>
      <c r="K183" s="1213"/>
      <c r="L183" s="1157"/>
      <c r="M183" s="1157"/>
      <c r="N183" s="1206"/>
      <c r="O183" s="1213"/>
      <c r="P183" s="1157"/>
      <c r="Q183" s="1157"/>
      <c r="R183" s="1498"/>
      <c r="S183" s="1208"/>
      <c r="T183" s="808"/>
      <c r="U183" s="809"/>
      <c r="V183" s="809"/>
      <c r="W183" s="1210"/>
      <c r="Y183" s="16"/>
      <c r="Z183" s="16"/>
      <c r="AA183" s="16"/>
      <c r="AB183" s="16"/>
      <c r="AC183" s="16"/>
      <c r="AD183" s="16"/>
      <c r="AE183" s="16"/>
      <c r="AF183" s="16"/>
      <c r="AG183" s="16"/>
      <c r="AH183" s="16"/>
      <c r="AI183" s="16"/>
      <c r="AJ183" s="16"/>
      <c r="AK183" s="16"/>
    </row>
    <row r="184" spans="1:43" s="34" customFormat="1" ht="17.25" customHeight="1">
      <c r="A184" s="185"/>
      <c r="D184" s="989"/>
      <c r="E184" s="998"/>
      <c r="F184" s="976"/>
      <c r="G184" s="999"/>
      <c r="H184" s="1180"/>
      <c r="I184" s="1180"/>
      <c r="J184" s="1211"/>
      <c r="K184" s="1213"/>
      <c r="L184" s="1180"/>
      <c r="M184" s="1180"/>
      <c r="N184" s="1207"/>
      <c r="O184" s="1161"/>
      <c r="P184" s="182"/>
      <c r="Q184" s="183"/>
      <c r="R184" s="183" t="s">
        <v>231</v>
      </c>
      <c r="S184" s="997"/>
      <c r="T184" s="997"/>
      <c r="U184" s="997"/>
      <c r="V184" s="997"/>
      <c r="W184" s="806"/>
      <c r="Y184" s="16"/>
      <c r="Z184" s="16"/>
      <c r="AA184" s="16"/>
      <c r="AB184" s="16"/>
      <c r="AC184" s="16"/>
      <c r="AD184" s="16"/>
      <c r="AE184" s="16"/>
      <c r="AF184" s="16"/>
      <c r="AG184" s="16"/>
      <c r="AH184" s="16"/>
      <c r="AI184" s="16"/>
      <c r="AJ184" s="16"/>
      <c r="AK184" s="16"/>
    </row>
    <row r="185" spans="1:43" s="34" customFormat="1" ht="17.25" customHeight="1">
      <c r="A185" s="185"/>
      <c r="D185" s="989"/>
      <c r="E185" s="998"/>
      <c r="F185" s="976"/>
      <c r="G185" s="999"/>
      <c r="H185" s="1180"/>
      <c r="I185" s="1180"/>
      <c r="J185" s="1211"/>
      <c r="K185" s="1161"/>
      <c r="L185" s="182"/>
      <c r="M185" s="183"/>
      <c r="N185" s="183" t="s">
        <v>232</v>
      </c>
      <c r="O185" s="183"/>
      <c r="P185" s="183"/>
      <c r="Q185" s="183"/>
      <c r="R185" s="183"/>
      <c r="S185" s="997"/>
      <c r="T185" s="997"/>
      <c r="U185" s="997"/>
      <c r="V185" s="997"/>
      <c r="W185" s="184"/>
      <c r="Y185" s="16"/>
      <c r="Z185" s="16"/>
      <c r="AA185" s="16"/>
      <c r="AB185" s="16"/>
      <c r="AC185" s="16"/>
      <c r="AD185" s="16"/>
      <c r="AE185" s="16"/>
      <c r="AF185" s="16"/>
      <c r="AG185" s="16"/>
      <c r="AH185" s="16"/>
      <c r="AI185" s="16"/>
      <c r="AJ185" s="16"/>
      <c r="AK185" s="16"/>
    </row>
    <row r="186" spans="1:43" ht="17.25" customHeight="1"/>
    <row r="187" spans="1:43" s="34" customFormat="1" ht="17.25" customHeight="1">
      <c r="A187" s="185"/>
      <c r="C187" s="74"/>
      <c r="D187" s="989"/>
      <c r="E187" s="998"/>
      <c r="F187" s="976"/>
      <c r="G187" s="999"/>
      <c r="H187" s="989"/>
      <c r="I187" s="989"/>
      <c r="J187" s="1001"/>
      <c r="K187" s="999"/>
      <c r="L187" s="1157"/>
      <c r="M187" s="1157" t="s">
        <v>107</v>
      </c>
      <c r="N187" s="1206" t="str">
        <f>IF(Z187="","",INDEX(TERRITORY_MR_LIST,MATCH(Z187,TERRITORY_LIST_ID,0)))</f>
        <v/>
      </c>
      <c r="O187" s="1212" t="s">
        <v>64</v>
      </c>
      <c r="P187" s="1157"/>
      <c r="Q187" s="1157" t="s">
        <v>107</v>
      </c>
      <c r="R187" s="1498" t="s">
        <v>28</v>
      </c>
      <c r="S187" s="1208" t="s">
        <v>19</v>
      </c>
      <c r="T187" s="814"/>
      <c r="U187" s="814" t="s">
        <v>107</v>
      </c>
      <c r="V187" s="807"/>
      <c r="W187" s="1210"/>
      <c r="Y187" s="728"/>
      <c r="Z187" s="728"/>
      <c r="AA187" s="728"/>
      <c r="AB187" s="728"/>
      <c r="AC187" s="728"/>
      <c r="AD187" s="728"/>
      <c r="AE187" s="728"/>
      <c r="AF187" s="728"/>
      <c r="AG187" s="728"/>
      <c r="AH187" s="728"/>
      <c r="AI187" s="728"/>
      <c r="AJ187" s="728"/>
      <c r="AK187" s="728"/>
      <c r="AL187" s="141"/>
      <c r="AM187" s="141"/>
      <c r="AN187" s="728"/>
      <c r="AO187" s="728"/>
      <c r="AP187" s="728"/>
      <c r="AQ187" s="728"/>
    </row>
    <row r="188" spans="1:43" s="34" customFormat="1" ht="17.25" customHeight="1">
      <c r="A188" s="185"/>
      <c r="D188" s="989"/>
      <c r="E188" s="998"/>
      <c r="F188" s="976"/>
      <c r="G188" s="999"/>
      <c r="H188" s="989"/>
      <c r="I188" s="989"/>
      <c r="J188" s="1001"/>
      <c r="K188" s="999"/>
      <c r="L188" s="1157"/>
      <c r="M188" s="1157"/>
      <c r="N188" s="1206"/>
      <c r="O188" s="1213"/>
      <c r="P188" s="1157"/>
      <c r="Q188" s="1157"/>
      <c r="R188" s="1498"/>
      <c r="S188" s="1208"/>
      <c r="T188" s="808"/>
      <c r="U188" s="809"/>
      <c r="V188" s="809"/>
      <c r="W188" s="1210"/>
      <c r="Y188" s="16"/>
      <c r="Z188" s="16"/>
      <c r="AA188" s="16"/>
      <c r="AB188" s="16"/>
      <c r="AC188" s="16"/>
      <c r="AD188" s="16"/>
      <c r="AE188" s="16"/>
      <c r="AF188" s="16"/>
      <c r="AG188" s="16"/>
      <c r="AH188" s="16"/>
      <c r="AI188" s="16"/>
      <c r="AJ188" s="16"/>
      <c r="AK188" s="16"/>
    </row>
    <row r="189" spans="1:43" s="34" customFormat="1" ht="17.25" customHeight="1">
      <c r="A189" s="185"/>
      <c r="D189" s="989"/>
      <c r="E189" s="998"/>
      <c r="F189" s="976"/>
      <c r="G189" s="999"/>
      <c r="H189" s="989"/>
      <c r="I189" s="989"/>
      <c r="J189" s="1001"/>
      <c r="K189" s="999"/>
      <c r="L189" s="1180"/>
      <c r="M189" s="1180"/>
      <c r="N189" s="1207"/>
      <c r="O189" s="1161"/>
      <c r="P189" s="182"/>
      <c r="Q189" s="183"/>
      <c r="R189" s="183" t="s">
        <v>231</v>
      </c>
      <c r="S189" s="997"/>
      <c r="T189" s="997"/>
      <c r="U189" s="997"/>
      <c r="V189" s="997"/>
      <c r="W189" s="806"/>
      <c r="Y189" s="16"/>
      <c r="Z189" s="16"/>
      <c r="AA189" s="16"/>
      <c r="AB189" s="16"/>
      <c r="AC189" s="16"/>
      <c r="AD189" s="16"/>
      <c r="AE189" s="16"/>
      <c r="AF189" s="16"/>
      <c r="AG189" s="16"/>
      <c r="AH189" s="16"/>
      <c r="AI189" s="16"/>
      <c r="AJ189" s="16"/>
      <c r="AK189" s="16"/>
    </row>
    <row r="190" spans="1:43" ht="17.25" customHeight="1"/>
    <row r="191" spans="1:43" s="34" customFormat="1" ht="17.25" customHeight="1">
      <c r="A191" s="185"/>
      <c r="C191" s="74"/>
      <c r="D191" s="989"/>
      <c r="E191" s="998"/>
      <c r="F191" s="976"/>
      <c r="G191" s="999"/>
      <c r="H191" s="989"/>
      <c r="I191" s="989"/>
      <c r="J191" s="1001"/>
      <c r="K191" s="999"/>
      <c r="L191" s="989"/>
      <c r="M191" s="989"/>
      <c r="N191" s="1081"/>
      <c r="O191" s="977"/>
      <c r="P191" s="1157"/>
      <c r="Q191" s="1157" t="s">
        <v>107</v>
      </c>
      <c r="R191" s="1498" t="s">
        <v>28</v>
      </c>
      <c r="S191" s="1208" t="s">
        <v>19</v>
      </c>
      <c r="T191" s="814"/>
      <c r="U191" s="814" t="s">
        <v>107</v>
      </c>
      <c r="V191" s="807"/>
      <c r="W191" s="1210"/>
      <c r="Y191" s="728"/>
      <c r="Z191" s="728"/>
      <c r="AA191" s="728"/>
      <c r="AB191" s="728"/>
      <c r="AC191" s="728"/>
      <c r="AD191" s="728"/>
      <c r="AE191" s="728"/>
      <c r="AF191" s="728"/>
      <c r="AG191" s="728"/>
      <c r="AH191" s="728"/>
      <c r="AI191" s="728"/>
      <c r="AJ191" s="728"/>
      <c r="AK191" s="728"/>
      <c r="AL191" s="141"/>
      <c r="AM191" s="141"/>
      <c r="AN191" s="728"/>
      <c r="AO191" s="728"/>
      <c r="AP191" s="728"/>
      <c r="AQ191" s="728"/>
    </row>
    <row r="192" spans="1:43" s="34" customFormat="1" ht="17.25" customHeight="1">
      <c r="A192" s="185"/>
      <c r="D192" s="989"/>
      <c r="E192" s="998"/>
      <c r="F192" s="976"/>
      <c r="G192" s="999"/>
      <c r="H192" s="989"/>
      <c r="I192" s="989"/>
      <c r="J192" s="1001"/>
      <c r="K192" s="999"/>
      <c r="L192" s="989"/>
      <c r="M192" s="989"/>
      <c r="N192" s="1081"/>
      <c r="O192" s="977"/>
      <c r="P192" s="1157"/>
      <c r="Q192" s="1157"/>
      <c r="R192" s="1498"/>
      <c r="S192" s="1208"/>
      <c r="T192" s="808"/>
      <c r="U192" s="809"/>
      <c r="V192" s="809"/>
      <c r="W192" s="1210"/>
      <c r="Y192" s="16"/>
      <c r="Z192" s="16"/>
      <c r="AA192" s="16"/>
      <c r="AB192" s="16"/>
      <c r="AC192" s="16"/>
      <c r="AD192" s="16"/>
      <c r="AE192" s="16"/>
      <c r="AF192" s="16"/>
      <c r="AG192" s="16"/>
      <c r="AH192" s="16"/>
      <c r="AI192" s="16"/>
      <c r="AJ192" s="16"/>
      <c r="AK192" s="16"/>
    </row>
    <row r="193" spans="1:63" ht="17.25" customHeight="1"/>
    <row r="194" spans="1:63" ht="16.5" customHeight="1">
      <c r="A194" s="185"/>
      <c r="B194" s="34"/>
      <c r="C194" s="34"/>
      <c r="D194" s="1209"/>
      <c r="E194" s="1226"/>
      <c r="F194" s="1226"/>
      <c r="G194" s="1146"/>
      <c r="H194" s="1170"/>
      <c r="I194" s="1172"/>
      <c r="J194" s="1174"/>
      <c r="K194" s="1166"/>
      <c r="L194" s="1166"/>
      <c r="M194" s="1166"/>
      <c r="N194" s="1177"/>
      <c r="O194" s="1166"/>
      <c r="P194" s="1166"/>
      <c r="Q194" s="1166"/>
      <c r="R194" s="1164"/>
      <c r="S194" s="1166"/>
      <c r="T194" s="801"/>
      <c r="U194" s="801"/>
      <c r="V194" s="800"/>
      <c r="W194" s="743"/>
    </row>
    <row r="195" spans="1:63" ht="16.5" customHeight="1">
      <c r="A195" s="185"/>
      <c r="B195" s="34"/>
      <c r="C195" s="34"/>
      <c r="D195" s="1209"/>
      <c r="E195" s="1226"/>
      <c r="F195" s="1226"/>
      <c r="G195" s="1146"/>
      <c r="H195" s="1171"/>
      <c r="I195" s="1173"/>
      <c r="J195" s="1175"/>
      <c r="K195" s="1167"/>
      <c r="L195" s="1167"/>
      <c r="M195" s="1167"/>
      <c r="N195" s="1178"/>
      <c r="O195" s="1167"/>
      <c r="P195" s="1167"/>
      <c r="Q195" s="1167"/>
      <c r="R195" s="1165"/>
      <c r="S195" s="1167"/>
      <c r="T195" s="744"/>
      <c r="U195" s="744"/>
      <c r="V195" s="744"/>
      <c r="W195" s="745"/>
    </row>
    <row r="196" spans="1:63" ht="17.25" customHeight="1">
      <c r="A196" s="185"/>
      <c r="B196" s="34"/>
      <c r="C196" s="34"/>
      <c r="D196" s="1209"/>
      <c r="E196" s="1226"/>
      <c r="F196" s="1226"/>
      <c r="G196" s="1146"/>
      <c r="H196" s="1171"/>
      <c r="I196" s="1173"/>
      <c r="J196" s="1176"/>
      <c r="K196" s="1167"/>
      <c r="L196" s="1167"/>
      <c r="M196" s="1167"/>
      <c r="N196" s="1165"/>
      <c r="O196" s="1167"/>
      <c r="P196" s="53"/>
      <c r="Q196" s="744"/>
      <c r="R196" s="744"/>
      <c r="S196" s="34"/>
      <c r="T196" s="34"/>
      <c r="U196" s="34"/>
      <c r="V196" s="34"/>
      <c r="W196" s="745"/>
    </row>
    <row r="197" spans="1:63" ht="17.25" customHeight="1">
      <c r="A197" s="185"/>
      <c r="B197" s="34"/>
      <c r="C197" s="34"/>
      <c r="D197" s="1209"/>
      <c r="E197" s="1226"/>
      <c r="F197" s="1226"/>
      <c r="G197" s="1146"/>
      <c r="H197" s="1171"/>
      <c r="I197" s="1173"/>
      <c r="J197" s="1176"/>
      <c r="K197" s="1167"/>
      <c r="L197" s="744"/>
      <c r="M197" s="744"/>
      <c r="N197" s="744"/>
      <c r="O197" s="744"/>
      <c r="P197" s="744"/>
      <c r="Q197" s="744"/>
      <c r="R197" s="744"/>
      <c r="S197" s="34"/>
      <c r="T197" s="34"/>
      <c r="U197" s="34"/>
      <c r="V197" s="34"/>
      <c r="W197" s="745"/>
    </row>
    <row r="198" spans="1:63" ht="17.25" customHeight="1">
      <c r="A198" s="185"/>
      <c r="B198" s="34"/>
      <c r="C198" s="34"/>
      <c r="D198" s="1209"/>
      <c r="E198" s="1226"/>
      <c r="F198" s="1226"/>
      <c r="G198" s="1146"/>
      <c r="H198" s="746"/>
      <c r="I198" s="747"/>
      <c r="J198" s="747"/>
      <c r="K198" s="747"/>
      <c r="L198" s="747"/>
      <c r="M198" s="747"/>
      <c r="N198" s="747"/>
      <c r="O198" s="747"/>
      <c r="P198" s="747"/>
      <c r="Q198" s="747"/>
      <c r="R198" s="747"/>
      <c r="S198" s="748"/>
      <c r="T198" s="748"/>
      <c r="U198" s="748"/>
      <c r="V198" s="748"/>
      <c r="W198" s="749"/>
    </row>
    <row r="200" spans="1:63" s="983" customFormat="1" ht="17.25" customHeight="1">
      <c r="A200" s="983" t="s">
        <v>1939</v>
      </c>
    </row>
    <row r="201" spans="1:63" ht="17.25" customHeight="1">
      <c r="G201" s="996"/>
      <c r="H201" s="996"/>
      <c r="I201" s="996"/>
    </row>
    <row r="202" spans="1:63" ht="15" customHeight="1">
      <c r="D202" s="1531"/>
      <c r="E202" s="1221"/>
      <c r="F202" s="1221"/>
      <c r="G202" s="1212"/>
      <c r="H202" s="866"/>
      <c r="I202" s="1532">
        <v>1</v>
      </c>
      <c r="J202" s="1210"/>
      <c r="K202" s="151"/>
      <c r="L202" s="1212" t="s">
        <v>64</v>
      </c>
      <c r="M202" s="1212" t="s">
        <v>64</v>
      </c>
      <c r="N202" s="866"/>
      <c r="O202" s="1157" t="s">
        <v>107</v>
      </c>
      <c r="P202" s="1538"/>
      <c r="Q202" s="151"/>
      <c r="R202" s="1212" t="s">
        <v>64</v>
      </c>
      <c r="S202" s="1212" t="s">
        <v>64</v>
      </c>
      <c r="T202" s="1002"/>
      <c r="U202" s="1157" t="s">
        <v>107</v>
      </c>
      <c r="V202" s="1528" t="str">
        <f>IF(AK202="","",INDEX(TERRITORY_MR_LIST,MATCH(AK202,TERRITORY_LIST_ID,0)))</f>
        <v/>
      </c>
      <c r="W202" s="346"/>
      <c r="X202" s="1212" t="s">
        <v>64</v>
      </c>
      <c r="Y202" s="1212" t="s">
        <v>19</v>
      </c>
      <c r="Z202" s="866"/>
      <c r="AA202" s="1157" t="s">
        <v>107</v>
      </c>
      <c r="AB202" s="1530"/>
      <c r="AC202" s="876"/>
      <c r="AD202" s="1212" t="s">
        <v>64</v>
      </c>
      <c r="AE202" s="1212" t="s">
        <v>19</v>
      </c>
      <c r="AF202" s="346"/>
      <c r="AG202" s="42" t="s">
        <v>107</v>
      </c>
      <c r="AH202" s="872"/>
      <c r="AI202" s="36"/>
    </row>
    <row r="203" spans="1:63" ht="15" customHeight="1">
      <c r="D203" s="1531"/>
      <c r="E203" s="1221"/>
      <c r="F203" s="1221"/>
      <c r="G203" s="1213"/>
      <c r="H203" s="866"/>
      <c r="I203" s="1532"/>
      <c r="J203" s="1210"/>
      <c r="K203" s="865"/>
      <c r="L203" s="1213"/>
      <c r="M203" s="1213"/>
      <c r="N203" s="866"/>
      <c r="O203" s="1157"/>
      <c r="P203" s="1538"/>
      <c r="Q203" s="863"/>
      <c r="R203" s="1213"/>
      <c r="S203" s="1213"/>
      <c r="T203" s="1002"/>
      <c r="U203" s="1157"/>
      <c r="V203" s="1529"/>
      <c r="W203" s="864"/>
      <c r="X203" s="1213"/>
      <c r="Y203" s="1213"/>
      <c r="Z203" s="866"/>
      <c r="AA203" s="1157"/>
      <c r="AB203" s="1467"/>
      <c r="AC203" s="596"/>
      <c r="AD203" s="1161"/>
      <c r="AE203" s="1161"/>
      <c r="AF203" s="867"/>
      <c r="AG203" s="182"/>
      <c r="AH203" s="1534" t="s">
        <v>1940</v>
      </c>
      <c r="AI203" s="1535"/>
    </row>
    <row r="204" spans="1:63" ht="15" customHeight="1">
      <c r="D204" s="1531"/>
      <c r="E204" s="1221"/>
      <c r="F204" s="1221"/>
      <c r="G204" s="1213"/>
      <c r="H204" s="866"/>
      <c r="I204" s="1532"/>
      <c r="J204" s="1210"/>
      <c r="K204" s="865"/>
      <c r="L204" s="1213"/>
      <c r="M204" s="1213"/>
      <c r="N204" s="866"/>
      <c r="O204" s="1157"/>
      <c r="P204" s="1538"/>
      <c r="Q204" s="863"/>
      <c r="R204" s="1213"/>
      <c r="S204" s="1213"/>
      <c r="T204" s="1002"/>
      <c r="U204" s="1157"/>
      <c r="V204" s="1529"/>
      <c r="W204" s="864"/>
      <c r="X204" s="1213"/>
      <c r="Y204" s="1213"/>
      <c r="Z204" s="864"/>
      <c r="AA204" s="869"/>
      <c r="AB204" s="1536" t="s">
        <v>1941</v>
      </c>
      <c r="AC204" s="1536"/>
      <c r="AD204" s="1536"/>
      <c r="AE204" s="1536"/>
      <c r="AF204" s="1536"/>
      <c r="AG204" s="1536"/>
      <c r="AH204" s="1536"/>
      <c r="AI204" s="1537"/>
    </row>
    <row r="205" spans="1:63" ht="15" customHeight="1">
      <c r="D205" s="1531"/>
      <c r="E205" s="1221"/>
      <c r="F205" s="1221"/>
      <c r="G205" s="1213"/>
      <c r="H205" s="866"/>
      <c r="I205" s="1532"/>
      <c r="J205" s="1210"/>
      <c r="K205" s="865"/>
      <c r="L205" s="1213"/>
      <c r="M205" s="1213"/>
      <c r="N205" s="866"/>
      <c r="O205" s="1157"/>
      <c r="P205" s="1539"/>
      <c r="Q205" s="863"/>
      <c r="R205" s="1213"/>
      <c r="S205" s="1213"/>
      <c r="T205" s="1003"/>
      <c r="U205" s="887"/>
      <c r="V205" s="1534" t="s">
        <v>101</v>
      </c>
      <c r="W205" s="1534"/>
      <c r="X205" s="1534"/>
      <c r="Y205" s="1534"/>
      <c r="Z205" s="1534"/>
      <c r="AA205" s="1534"/>
      <c r="AB205" s="1534"/>
      <c r="AC205" s="1534"/>
      <c r="AD205" s="1534"/>
      <c r="AE205" s="1534"/>
      <c r="AF205" s="1534"/>
      <c r="AG205" s="1534"/>
      <c r="AH205" s="1534"/>
      <c r="AI205" s="1535"/>
    </row>
    <row r="206" spans="1:63" ht="11.25" customHeight="1">
      <c r="D206" s="1531"/>
      <c r="E206" s="1221"/>
      <c r="F206" s="1221"/>
      <c r="G206" s="1213"/>
      <c r="H206" s="868"/>
      <c r="I206" s="1532"/>
      <c r="J206" s="1533"/>
      <c r="K206" s="865"/>
      <c r="L206" s="1213"/>
      <c r="M206" s="1213"/>
      <c r="N206" s="868"/>
      <c r="O206" s="869"/>
      <c r="P206" s="1534" t="s">
        <v>1942</v>
      </c>
      <c r="Q206" s="1534"/>
      <c r="R206" s="1534"/>
      <c r="S206" s="1534"/>
      <c r="T206" s="1534"/>
      <c r="U206" s="1534"/>
      <c r="V206" s="1534"/>
      <c r="W206" s="1534"/>
      <c r="X206" s="1534"/>
      <c r="Y206" s="1534"/>
      <c r="Z206" s="1534"/>
      <c r="AA206" s="1534"/>
      <c r="AB206" s="1534"/>
      <c r="AC206" s="1534"/>
      <c r="AD206" s="1534"/>
      <c r="AE206" s="1534"/>
      <c r="AF206" s="1534"/>
      <c r="AG206" s="1534"/>
      <c r="AH206" s="1534"/>
      <c r="AI206" s="1535"/>
    </row>
    <row r="207" spans="1:63" s="858" customFormat="1" ht="11.25" customHeight="1">
      <c r="D207" s="1531"/>
      <c r="E207" s="1221"/>
      <c r="F207" s="1221"/>
      <c r="G207" s="1161"/>
      <c r="H207" s="870"/>
      <c r="I207" s="871"/>
      <c r="J207" s="1534" t="s">
        <v>233</v>
      </c>
      <c r="K207" s="1534"/>
      <c r="L207" s="1534"/>
      <c r="M207" s="1534"/>
      <c r="N207" s="1534"/>
      <c r="O207" s="1534"/>
      <c r="P207" s="1534"/>
      <c r="Q207" s="1534"/>
      <c r="R207" s="1534"/>
      <c r="S207" s="1534"/>
      <c r="T207" s="1534"/>
      <c r="U207" s="1534"/>
      <c r="V207" s="1534"/>
      <c r="W207" s="1534"/>
      <c r="X207" s="1534"/>
      <c r="Y207" s="1534"/>
      <c r="Z207" s="1534"/>
      <c r="AA207" s="1534"/>
      <c r="AB207" s="1534"/>
      <c r="AC207" s="1534"/>
      <c r="AD207" s="1534"/>
      <c r="AE207" s="1534"/>
      <c r="AF207" s="1534"/>
      <c r="AG207" s="1534"/>
      <c r="AH207" s="1534"/>
      <c r="AI207" s="1535"/>
      <c r="BK207"/>
    </row>
    <row r="208" spans="1:63" ht="17.25" customHeight="1">
      <c r="G208" s="996"/>
      <c r="I208" s="996"/>
      <c r="J208" s="996"/>
    </row>
    <row r="209" spans="4:63" ht="15" customHeight="1">
      <c r="D209" s="1531"/>
      <c r="E209" s="1221"/>
      <c r="F209" s="1221"/>
      <c r="G209" s="1226"/>
      <c r="H209" s="883"/>
      <c r="I209" s="1229"/>
      <c r="J209" s="1174"/>
      <c r="K209" s="831"/>
      <c r="L209" s="1166"/>
      <c r="M209" s="1166"/>
      <c r="N209" s="877"/>
      <c r="O209" s="1166"/>
      <c r="P209" s="1174"/>
      <c r="Q209" s="831"/>
      <c r="R209" s="1166"/>
      <c r="S209" s="1166"/>
      <c r="T209" s="878"/>
      <c r="U209" s="1166"/>
      <c r="V209" s="1174"/>
      <c r="W209" s="801"/>
      <c r="X209" s="1166"/>
      <c r="Y209" s="1166"/>
      <c r="Z209" s="877"/>
      <c r="AA209" s="1166"/>
      <c r="AB209" s="1174"/>
      <c r="AC209" s="879"/>
      <c r="AD209" s="1166"/>
      <c r="AE209" s="1166"/>
      <c r="AF209" s="801"/>
      <c r="AG209" s="801"/>
      <c r="AH209" s="877"/>
      <c r="AI209" s="743"/>
    </row>
    <row r="210" spans="4:63" ht="15" customHeight="1">
      <c r="D210" s="1531"/>
      <c r="E210" s="1221"/>
      <c r="F210" s="1221"/>
      <c r="G210" s="1226"/>
      <c r="H210" s="884"/>
      <c r="I210" s="1230"/>
      <c r="J210" s="1175"/>
      <c r="K210" s="339"/>
      <c r="L210" s="1167"/>
      <c r="M210" s="1167"/>
      <c r="N210" s="32"/>
      <c r="O210" s="1167"/>
      <c r="P210" s="1175"/>
      <c r="Q210" s="380"/>
      <c r="R210" s="1167"/>
      <c r="S210" s="1167"/>
      <c r="T210" s="880"/>
      <c r="U210" s="1167"/>
      <c r="V210" s="1175"/>
      <c r="W210" s="53"/>
      <c r="X210" s="1167"/>
      <c r="Y210" s="1167"/>
      <c r="Z210" s="32"/>
      <c r="AA210" s="1167"/>
      <c r="AB210" s="1175"/>
      <c r="AC210" s="339"/>
      <c r="AD210" s="1167"/>
      <c r="AE210" s="1167"/>
      <c r="AF210" s="744"/>
      <c r="AG210" s="744"/>
      <c r="AH210" s="1233"/>
      <c r="AI210" s="1234"/>
    </row>
    <row r="211" spans="4:63" ht="15" customHeight="1">
      <c r="D211" s="1531"/>
      <c r="E211" s="1221"/>
      <c r="F211" s="1221"/>
      <c r="G211" s="1226"/>
      <c r="H211" s="884"/>
      <c r="I211" s="1230"/>
      <c r="J211" s="1175"/>
      <c r="K211" s="339"/>
      <c r="L211" s="1167"/>
      <c r="M211" s="1167"/>
      <c r="N211" s="32"/>
      <c r="O211" s="1167"/>
      <c r="P211" s="1175"/>
      <c r="Q211" s="380"/>
      <c r="R211" s="1167"/>
      <c r="S211" s="1167"/>
      <c r="T211" s="880"/>
      <c r="U211" s="1167"/>
      <c r="V211" s="1175"/>
      <c r="W211" s="53"/>
      <c r="X211" s="1167"/>
      <c r="Y211" s="1167"/>
      <c r="Z211" s="53"/>
      <c r="AA211" s="744"/>
      <c r="AB211" s="1233"/>
      <c r="AC211" s="1233"/>
      <c r="AD211" s="1233"/>
      <c r="AE211" s="1233"/>
      <c r="AF211" s="1233"/>
      <c r="AG211" s="1233"/>
      <c r="AH211" s="1233"/>
      <c r="AI211" s="1234"/>
    </row>
    <row r="212" spans="4:63" ht="15" customHeight="1">
      <c r="D212" s="1531"/>
      <c r="E212" s="1221"/>
      <c r="F212" s="1221"/>
      <c r="G212" s="1226"/>
      <c r="H212" s="884"/>
      <c r="I212" s="1230"/>
      <c r="J212" s="1175"/>
      <c r="K212" s="339"/>
      <c r="L212" s="1167"/>
      <c r="M212" s="1167"/>
      <c r="N212" s="32"/>
      <c r="O212" s="1167"/>
      <c r="P212" s="1175"/>
      <c r="Q212" s="380"/>
      <c r="R212" s="1167"/>
      <c r="S212" s="1167"/>
      <c r="T212" s="49"/>
      <c r="U212" s="881"/>
      <c r="V212" s="1233"/>
      <c r="W212" s="1233"/>
      <c r="X212" s="1233"/>
      <c r="Y212" s="1233"/>
      <c r="Z212" s="1233"/>
      <c r="AA212" s="1233"/>
      <c r="AB212" s="1233"/>
      <c r="AC212" s="1233"/>
      <c r="AD212" s="1233"/>
      <c r="AE212" s="1233"/>
      <c r="AF212" s="1233"/>
      <c r="AG212" s="1233"/>
      <c r="AH212" s="1233"/>
      <c r="AI212" s="1234"/>
    </row>
    <row r="213" spans="4:63" ht="11.25" customHeight="1">
      <c r="D213" s="1531"/>
      <c r="E213" s="1221"/>
      <c r="F213" s="1221"/>
      <c r="G213" s="1226"/>
      <c r="H213" s="885"/>
      <c r="I213" s="1230"/>
      <c r="J213" s="1175"/>
      <c r="K213" s="339"/>
      <c r="L213" s="1167"/>
      <c r="M213" s="1167"/>
      <c r="N213" s="744"/>
      <c r="O213" s="744"/>
      <c r="P213" s="1233"/>
      <c r="Q213" s="1233"/>
      <c r="R213" s="1233"/>
      <c r="S213" s="1233"/>
      <c r="T213" s="1233"/>
      <c r="U213" s="1233"/>
      <c r="V213" s="1233"/>
      <c r="W213" s="1233"/>
      <c r="X213" s="1233"/>
      <c r="Y213" s="1233"/>
      <c r="Z213" s="1233"/>
      <c r="AA213" s="1233"/>
      <c r="AB213" s="1233"/>
      <c r="AC213" s="1233"/>
      <c r="AD213" s="1233"/>
      <c r="AE213" s="1233"/>
      <c r="AF213" s="1233"/>
      <c r="AG213" s="1233"/>
      <c r="AH213" s="1233"/>
      <c r="AI213" s="1234"/>
    </row>
    <row r="214" spans="4:63" s="858" customFormat="1" ht="11.25" customHeight="1">
      <c r="D214" s="1531"/>
      <c r="E214" s="1221"/>
      <c r="F214" s="1221"/>
      <c r="G214" s="1235"/>
      <c r="H214" s="882"/>
      <c r="I214" s="886"/>
      <c r="J214" s="1231"/>
      <c r="K214" s="1231"/>
      <c r="L214" s="1231"/>
      <c r="M214" s="1231"/>
      <c r="N214" s="1231"/>
      <c r="O214" s="1231"/>
      <c r="P214" s="1231"/>
      <c r="Q214" s="1231"/>
      <c r="R214" s="1231"/>
      <c r="S214" s="1231"/>
      <c r="T214" s="1231"/>
      <c r="U214" s="1231"/>
      <c r="V214" s="1231"/>
      <c r="W214" s="1231"/>
      <c r="X214" s="1231"/>
      <c r="Y214" s="1231"/>
      <c r="Z214" s="1231"/>
      <c r="AA214" s="1231"/>
      <c r="AB214" s="1231"/>
      <c r="AC214" s="1231"/>
      <c r="AD214" s="1231"/>
      <c r="AE214" s="1231"/>
      <c r="AF214" s="1231"/>
      <c r="AG214" s="1231"/>
      <c r="AH214" s="1231"/>
      <c r="AI214" s="1232"/>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474"/>
    <col min="2" max="2" width="43.140625" style="474" hidden="1"/>
    <col min="3" max="3" width="43.140625" style="474"/>
    <col min="4" max="5" width="36.42578125" style="474" customWidth="1"/>
    <col min="6" max="8" width="36.42578125" style="563" customWidth="1"/>
  </cols>
  <sheetData>
    <row r="1" spans="1:8" ht="9" customHeight="1">
      <c r="A1" s="480" t="s">
        <v>1943</v>
      </c>
      <c r="B1" s="480"/>
      <c r="C1" s="564" t="s">
        <v>1944</v>
      </c>
      <c r="D1" s="562" t="s">
        <v>806</v>
      </c>
      <c r="E1" s="562" t="s">
        <v>852</v>
      </c>
      <c r="F1" s="562" t="s">
        <v>905</v>
      </c>
      <c r="G1" s="562" t="s">
        <v>892</v>
      </c>
      <c r="H1" s="562" t="s">
        <v>1619</v>
      </c>
    </row>
    <row r="2" spans="1:8" ht="9" customHeight="1">
      <c r="A2" s="565" t="s">
        <v>1945</v>
      </c>
      <c r="B2" s="565"/>
      <c r="C2" s="566" t="str">
        <f>INDEX(TEMPLATE_NUMBER_FORM_LIST,MATCH(TEMPLATE_SPHERE,TEMPLATE_SPHERE_LIST,0))</f>
        <v>10</v>
      </c>
      <c r="D2" s="565" t="s">
        <v>1469</v>
      </c>
      <c r="E2" s="565" t="s">
        <v>147</v>
      </c>
      <c r="F2" s="567" t="s">
        <v>147</v>
      </c>
      <c r="G2" s="565" t="s">
        <v>147</v>
      </c>
      <c r="H2" s="568"/>
    </row>
    <row r="3" spans="1:8" ht="63" customHeight="1">
      <c r="A3" s="480"/>
      <c r="B3" s="480" t="s">
        <v>107</v>
      </c>
      <c r="C3" s="566"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566" t="s">
        <v>1946</v>
      </c>
      <c r="E3" s="56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567"/>
      <c r="G3" s="568"/>
      <c r="H3" s="480"/>
    </row>
    <row r="4" spans="1:8" ht="243" customHeight="1">
      <c r="A4" s="480" t="s">
        <v>1947</v>
      </c>
      <c r="B4" s="480" t="s">
        <v>108</v>
      </c>
      <c r="C4" s="566" t="str">
        <f>IF(TEMPLATE_SPHERE="HEAT",D4,IF(TEMPLATE_SPHERE="TKO",H4,E4))</f>
        <v>Форма 1. Информация об организации, осуществляющей холодное водоснабжение (общая информация)</v>
      </c>
      <c r="D4" s="565" t="s">
        <v>1948</v>
      </c>
      <c r="E4" s="56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565"/>
      <c r="G4" s="565"/>
      <c r="H4" s="480" t="s">
        <v>1949</v>
      </c>
    </row>
    <row r="5" spans="1:8" ht="117" customHeight="1">
      <c r="A5" s="480" t="s">
        <v>1950</v>
      </c>
      <c r="B5" s="480" t="s">
        <v>88</v>
      </c>
      <c r="C5" s="566"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480" t="s">
        <v>1951</v>
      </c>
      <c r="E5" s="48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568"/>
      <c r="G5" s="568"/>
      <c r="H5" s="480" t="s">
        <v>1952</v>
      </c>
    </row>
    <row r="6" spans="1:8" ht="90" customHeight="1">
      <c r="A6" s="480" t="s">
        <v>1953</v>
      </c>
      <c r="B6" s="480" t="s">
        <v>89</v>
      </c>
      <c r="C6" s="566"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483"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480"/>
      <c r="G6" s="480"/>
      <c r="H6" s="568"/>
    </row>
    <row r="7" spans="1:8" ht="45" customHeight="1">
      <c r="A7" s="480" t="s">
        <v>1954</v>
      </c>
      <c r="B7" s="480" t="s">
        <v>109</v>
      </c>
      <c r="C7" s="566"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0" t="s">
        <v>1955</v>
      </c>
      <c r="E7" s="480" t="s">
        <v>1956</v>
      </c>
      <c r="F7" s="568"/>
      <c r="G7" s="568"/>
      <c r="H7" s="568"/>
    </row>
    <row r="8" spans="1:8" ht="108" customHeight="1">
      <c r="A8" s="480" t="s">
        <v>1957</v>
      </c>
      <c r="B8" s="480" t="s">
        <v>90</v>
      </c>
      <c r="C8" s="566"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0" t="s">
        <v>1157</v>
      </c>
      <c r="E8" s="480" t="s">
        <v>1958</v>
      </c>
      <c r="F8" s="568"/>
      <c r="G8" s="568"/>
      <c r="H8" s="568"/>
    </row>
    <row r="9" spans="1:8" ht="99" customHeight="1">
      <c r="A9" s="480" t="s">
        <v>1959</v>
      </c>
      <c r="B9" s="480"/>
      <c r="C9" s="480" t="s">
        <v>1960</v>
      </c>
      <c r="D9" s="480"/>
      <c r="E9" s="480"/>
      <c r="F9" s="568"/>
      <c r="G9" s="568"/>
      <c r="H9" s="568"/>
    </row>
    <row r="10" spans="1:8" ht="126" customHeight="1">
      <c r="A10" s="480" t="s">
        <v>1961</v>
      </c>
      <c r="B10" s="480"/>
      <c r="C10" s="480" t="s">
        <v>1962</v>
      </c>
      <c r="D10" s="480"/>
      <c r="E10" s="480"/>
      <c r="F10" s="568"/>
      <c r="G10" s="568"/>
      <c r="H10" s="568"/>
    </row>
    <row r="11" spans="1:8" ht="108" customHeight="1">
      <c r="A11" s="480" t="s">
        <v>1963</v>
      </c>
      <c r="B11" s="480"/>
      <c r="C11" s="480" t="s">
        <v>1964</v>
      </c>
      <c r="D11" s="480"/>
      <c r="E11" s="480"/>
      <c r="F11" s="568"/>
      <c r="G11" s="568"/>
      <c r="H11" s="568"/>
    </row>
    <row r="12" spans="1:8" ht="54" customHeight="1">
      <c r="A12" s="480" t="s">
        <v>1965</v>
      </c>
      <c r="B12" s="480"/>
      <c r="C12" s="480" t="s">
        <v>1966</v>
      </c>
      <c r="D12" s="480"/>
      <c r="E12" s="480"/>
      <c r="F12" s="568"/>
      <c r="G12" s="568"/>
      <c r="H12" s="568"/>
    </row>
    <row r="13" spans="1:8" ht="45" customHeight="1">
      <c r="A13" s="480" t="s">
        <v>1967</v>
      </c>
      <c r="B13" s="480"/>
      <c r="C13" s="480" t="s">
        <v>1968</v>
      </c>
      <c r="D13" s="480"/>
      <c r="E13" s="480"/>
      <c r="F13" s="568"/>
      <c r="G13" s="568"/>
      <c r="H13" s="568"/>
    </row>
    <row r="14" spans="1:8" ht="117" customHeight="1">
      <c r="A14" s="480" t="s">
        <v>1969</v>
      </c>
      <c r="B14" s="480"/>
      <c r="C14" s="480" t="s">
        <v>1970</v>
      </c>
      <c r="D14" s="480"/>
      <c r="E14" s="480"/>
      <c r="F14" s="568"/>
      <c r="G14" s="568"/>
      <c r="H14" s="568"/>
    </row>
    <row r="15" spans="1:8" ht="117" customHeight="1">
      <c r="A15" s="480" t="s">
        <v>1971</v>
      </c>
      <c r="B15" s="480"/>
      <c r="C15" s="480" t="s">
        <v>1972</v>
      </c>
      <c r="D15" s="480"/>
      <c r="E15" s="480"/>
      <c r="F15" s="568"/>
      <c r="G15" s="568"/>
      <c r="H15" s="568"/>
    </row>
    <row r="16" spans="1:8" ht="63" customHeight="1">
      <c r="A16" s="480" t="s">
        <v>1973</v>
      </c>
      <c r="B16" s="480"/>
      <c r="C16" s="480" t="s">
        <v>1974</v>
      </c>
      <c r="D16" s="480"/>
      <c r="E16" s="480"/>
      <c r="F16" s="568"/>
      <c r="G16" s="568"/>
      <c r="H16" s="568"/>
    </row>
    <row r="17" spans="1:8" ht="54" customHeight="1">
      <c r="A17" s="480" t="s">
        <v>1975</v>
      </c>
      <c r="B17" s="480"/>
      <c r="C17" s="566" t="s">
        <v>1976</v>
      </c>
      <c r="D17" s="480"/>
      <c r="E17" s="480"/>
      <c r="F17" s="568"/>
      <c r="G17" s="568"/>
      <c r="H17" s="568"/>
    </row>
    <row r="18" spans="1:8" ht="27" customHeight="1">
      <c r="A18" s="480" t="s">
        <v>1977</v>
      </c>
      <c r="B18" s="480"/>
      <c r="C18" s="566" t="s">
        <v>1978</v>
      </c>
      <c r="D18" s="480"/>
      <c r="E18" s="480"/>
      <c r="F18" s="568"/>
      <c r="G18" s="568"/>
      <c r="H18" s="568"/>
    </row>
    <row r="19" spans="1:8" ht="54" customHeight="1">
      <c r="A19" s="480" t="s">
        <v>1979</v>
      </c>
      <c r="B19" s="480"/>
      <c r="C19" s="566" t="s">
        <v>1980</v>
      </c>
      <c r="D19" s="480"/>
      <c r="E19" s="480"/>
      <c r="F19" s="568"/>
      <c r="G19" s="568"/>
      <c r="H19" s="568"/>
    </row>
    <row r="20" spans="1:8" ht="36" customHeight="1">
      <c r="A20" s="480" t="s">
        <v>1981</v>
      </c>
      <c r="B20" s="480"/>
      <c r="C20" s="566" t="s">
        <v>1982</v>
      </c>
      <c r="D20" s="480"/>
      <c r="E20" s="480"/>
      <c r="F20" s="568"/>
      <c r="G20" s="568"/>
      <c r="H20" s="568"/>
    </row>
    <row r="21" spans="1:8" ht="36" customHeight="1">
      <c r="A21" s="480" t="s">
        <v>1983</v>
      </c>
      <c r="B21" s="480"/>
      <c r="C21" s="566" t="s">
        <v>1984</v>
      </c>
      <c r="D21" s="480"/>
      <c r="E21" s="480"/>
      <c r="F21" s="568"/>
      <c r="G21" s="568"/>
      <c r="H21" s="568"/>
    </row>
    <row r="22" spans="1:8" ht="27" customHeight="1">
      <c r="A22" s="480" t="s">
        <v>1985</v>
      </c>
      <c r="B22" s="480"/>
      <c r="C22" s="566" t="s">
        <v>1986</v>
      </c>
      <c r="D22" s="480"/>
      <c r="E22" s="480"/>
      <c r="F22" s="568"/>
      <c r="G22" s="568"/>
      <c r="H22" s="568"/>
    </row>
    <row r="23" spans="1:8" ht="36" customHeight="1">
      <c r="A23" s="480" t="s">
        <v>1987</v>
      </c>
      <c r="B23" s="480"/>
      <c r="C23" s="566" t="s">
        <v>1988</v>
      </c>
      <c r="D23" s="480"/>
      <c r="E23" s="480"/>
      <c r="F23" s="568"/>
      <c r="G23" s="568"/>
      <c r="H23" s="568"/>
    </row>
    <row r="24" spans="1:8" ht="28.5" customHeight="1">
      <c r="A24" s="480" t="s">
        <v>1989</v>
      </c>
      <c r="B24" s="480"/>
      <c r="C24" s="566" t="s">
        <v>1990</v>
      </c>
      <c r="D24" s="480"/>
      <c r="E24" s="480"/>
      <c r="F24" s="568"/>
      <c r="G24" s="568"/>
      <c r="H24" s="568"/>
    </row>
    <row r="25" spans="1:8" ht="36" customHeight="1">
      <c r="A25" s="480" t="s">
        <v>1991</v>
      </c>
      <c r="B25" s="480"/>
      <c r="C25" s="566" t="s">
        <v>1992</v>
      </c>
      <c r="D25" s="480"/>
      <c r="E25" s="480"/>
      <c r="F25" s="568"/>
      <c r="G25" s="568"/>
      <c r="H25" s="568"/>
    </row>
    <row r="26" spans="1:8" ht="27" customHeight="1">
      <c r="A26" s="480" t="s">
        <v>1993</v>
      </c>
      <c r="B26" s="480"/>
      <c r="C26" s="566" t="s">
        <v>1994</v>
      </c>
      <c r="D26" s="480"/>
      <c r="E26" s="480"/>
      <c r="F26" s="568"/>
      <c r="G26" s="568"/>
      <c r="H26" s="568"/>
    </row>
    <row r="27" spans="1:8" ht="36" customHeight="1">
      <c r="A27" s="480" t="s">
        <v>1995</v>
      </c>
      <c r="B27" s="480"/>
      <c r="C27" s="566" t="s">
        <v>1996</v>
      </c>
      <c r="D27" s="480"/>
      <c r="E27" s="480"/>
      <c r="F27" s="568"/>
      <c r="G27" s="568"/>
      <c r="H27" s="568"/>
    </row>
    <row r="28" spans="1:8" ht="28.5" customHeight="1">
      <c r="A28" s="480" t="s">
        <v>1997</v>
      </c>
      <c r="B28" s="480"/>
      <c r="C28" s="566" t="s">
        <v>1998</v>
      </c>
      <c r="D28" s="480"/>
      <c r="E28" s="480"/>
      <c r="F28" s="568"/>
      <c r="G28" s="568"/>
      <c r="H28" s="568"/>
    </row>
    <row r="29" spans="1:8" ht="126" customHeight="1">
      <c r="A29" s="480" t="s">
        <v>1999</v>
      </c>
      <c r="B29" s="480" t="s">
        <v>1570</v>
      </c>
      <c r="C29" s="566"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480" t="s">
        <v>2000</v>
      </c>
      <c r="E29" s="48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568"/>
      <c r="G29" s="568"/>
      <c r="H29" s="480" t="s">
        <v>2001</v>
      </c>
    </row>
    <row r="30" spans="1:8" ht="36" customHeight="1">
      <c r="A30" s="480" t="s">
        <v>2002</v>
      </c>
      <c r="B30" s="480"/>
      <c r="C30" s="566"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480" t="s">
        <v>2003</v>
      </c>
      <c r="E30" s="48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568"/>
      <c r="G30" s="568"/>
      <c r="H30" s="568"/>
    </row>
    <row r="31" spans="1:8" ht="54" customHeight="1">
      <c r="A31" s="480" t="s">
        <v>2004</v>
      </c>
      <c r="B31" s="480"/>
      <c r="C31" s="566" t="str">
        <f>IF(TEMPLATE_SPHERE="HEAT",D31,IF(TEMPLATE_SPHERE="TKO",H31,E31))</f>
        <v>Форма 1. Информация об организации, осуществляющей холодное водоснабжение (общая информация)</v>
      </c>
      <c r="D31" s="480" t="s">
        <v>2005</v>
      </c>
      <c r="E31" s="48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568"/>
      <c r="G31" s="568"/>
      <c r="H31" s="568"/>
    </row>
    <row r="32" spans="1:8" ht="198" customHeight="1">
      <c r="A32" s="480" t="s">
        <v>2006</v>
      </c>
      <c r="B32" s="480"/>
      <c r="C32" s="566" t="str">
        <f>IF(TEMPLATE_SPHERE="HEAT",D32,IF(TEMPLATE_SPHERE="TKO",H32,E32))</f>
        <v>Форма 7. Информация об инвестиционных программах организации холодного водоснабжения и отчетах об их исполнении</v>
      </c>
      <c r="D32" s="480" t="s">
        <v>2007</v>
      </c>
      <c r="E32" s="48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568"/>
      <c r="G32" s="568"/>
      <c r="H32" s="480" t="s">
        <v>2008</v>
      </c>
    </row>
    <row r="33" spans="1:8" ht="9" customHeight="1">
      <c r="A33" s="480"/>
      <c r="B33" s="480"/>
      <c r="C33" s="566"/>
      <c r="D33" s="480"/>
      <c r="E33" s="480"/>
      <c r="F33" s="568"/>
      <c r="G33" s="568"/>
      <c r="H33" s="568"/>
    </row>
    <row r="34" spans="1:8" ht="9" customHeight="1">
      <c r="A34" s="480"/>
      <c r="B34" s="480" t="s">
        <v>1506</v>
      </c>
      <c r="C34" s="566">
        <f>INDEX(TEMPLATE_NAME_FORM_LIST,B34,MATCH(TEMPLATE_SPHERE,TEMPLATE_SPHERE_LIST,0))</f>
        <v>0</v>
      </c>
      <c r="D34" s="480"/>
      <c r="E34" s="480"/>
      <c r="F34" s="568"/>
      <c r="G34" s="568"/>
      <c r="H34" s="56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474"/>
    <col min="3" max="7" width="8" style="476" customWidth="1"/>
    <col min="8" max="12" width="8.5703125" style="476" customWidth="1"/>
    <col min="13" max="14" width="27.7109375" style="476" customWidth="1"/>
    <col min="15" max="19" width="5.140625" style="476" customWidth="1"/>
    <col min="20" max="24" width="27.7109375" style="476" customWidth="1"/>
    <col min="25" max="25" width="1.85546875" style="583" customWidth="1"/>
    <col min="26" max="26" width="27.7109375" style="474" customWidth="1"/>
    <col min="27" max="27" width="27.7109375" style="485" customWidth="1"/>
    <col min="28" max="29" width="27.7109375" style="474" customWidth="1"/>
    <col min="30" max="30" width="3.85546875" style="474" customWidth="1"/>
    <col min="31" max="34" width="9.140625" style="474"/>
  </cols>
  <sheetData>
    <row r="1" spans="1:34" s="473" customFormat="1" ht="18" customHeight="1">
      <c r="A1" s="517"/>
      <c r="B1" s="517"/>
      <c r="C1" s="517" t="s">
        <v>2009</v>
      </c>
      <c r="D1" s="517"/>
      <c r="E1" s="517"/>
      <c r="F1" s="517"/>
      <c r="G1" s="517"/>
      <c r="H1" s="517" t="s">
        <v>2010</v>
      </c>
      <c r="I1" s="517"/>
      <c r="J1" s="517"/>
      <c r="K1" s="517"/>
      <c r="L1" s="517"/>
      <c r="M1" s="517" t="s">
        <v>2011</v>
      </c>
      <c r="N1" s="517" t="s">
        <v>2012</v>
      </c>
      <c r="O1" s="1544" t="s">
        <v>2013</v>
      </c>
      <c r="P1" s="1544"/>
      <c r="Q1" s="1544"/>
      <c r="R1" s="1544"/>
      <c r="S1" s="1544"/>
      <c r="T1" s="1544" t="s">
        <v>2011</v>
      </c>
      <c r="U1" s="1544"/>
      <c r="V1" s="1544"/>
      <c r="W1" s="1544"/>
      <c r="X1" s="1544"/>
      <c r="Y1" s="581"/>
      <c r="Z1" s="1544" t="s">
        <v>2014</v>
      </c>
      <c r="AA1" s="1544"/>
      <c r="AB1" s="1544"/>
      <c r="AC1" s="1544"/>
      <c r="AD1" s="1544"/>
    </row>
    <row r="2" spans="1:34" ht="18" customHeight="1">
      <c r="A2" s="480"/>
      <c r="B2" s="480"/>
      <c r="C2" s="475" t="s">
        <v>806</v>
      </c>
      <c r="D2" s="475" t="s">
        <v>852</v>
      </c>
      <c r="E2" s="475" t="s">
        <v>905</v>
      </c>
      <c r="F2" s="475" t="s">
        <v>892</v>
      </c>
      <c r="G2" s="475" t="s">
        <v>1619</v>
      </c>
      <c r="H2" s="477"/>
      <c r="I2" s="477"/>
      <c r="J2" s="477"/>
      <c r="K2" s="477"/>
      <c r="L2" s="477"/>
      <c r="M2" s="477"/>
      <c r="N2" s="477"/>
      <c r="O2" s="475" t="s">
        <v>806</v>
      </c>
      <c r="P2" s="475" t="s">
        <v>852</v>
      </c>
      <c r="Q2" s="475" t="s">
        <v>892</v>
      </c>
      <c r="R2" s="475" t="s">
        <v>905</v>
      </c>
      <c r="S2" s="475" t="s">
        <v>1619</v>
      </c>
      <c r="T2" s="475" t="s">
        <v>806</v>
      </c>
      <c r="U2" s="475" t="s">
        <v>852</v>
      </c>
      <c r="V2" s="475" t="s">
        <v>892</v>
      </c>
      <c r="W2" s="475" t="s">
        <v>905</v>
      </c>
      <c r="X2" s="475" t="s">
        <v>1619</v>
      </c>
      <c r="Y2" s="475"/>
      <c r="Z2" s="475" t="s">
        <v>806</v>
      </c>
      <c r="AA2" s="484" t="s">
        <v>852</v>
      </c>
      <c r="AB2" s="475" t="s">
        <v>892</v>
      </c>
      <c r="AC2" s="475" t="s">
        <v>905</v>
      </c>
      <c r="AD2" s="475" t="s">
        <v>1619</v>
      </c>
    </row>
    <row r="3" spans="1:34" ht="162" customHeight="1">
      <c r="A3" s="479" t="s">
        <v>26</v>
      </c>
      <c r="B3" s="479"/>
      <c r="C3" s="1548" t="s">
        <v>2015</v>
      </c>
      <c r="D3" s="1549"/>
      <c r="E3" s="1549"/>
      <c r="F3" s="1550"/>
      <c r="G3" s="477"/>
      <c r="H3" s="477"/>
      <c r="I3" s="477"/>
      <c r="J3" s="477"/>
      <c r="K3" s="477"/>
      <c r="L3" s="477"/>
      <c r="M3" s="477"/>
      <c r="N3" s="478"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477"/>
      <c r="P3" s="477"/>
      <c r="Q3" s="477"/>
      <c r="R3" s="477"/>
      <c r="S3" s="477"/>
      <c r="T3" s="477"/>
      <c r="U3" s="477"/>
      <c r="V3" s="477"/>
      <c r="W3" s="477"/>
      <c r="X3" s="477"/>
      <c r="Y3" s="582"/>
      <c r="Z3" s="480" t="s">
        <v>2016</v>
      </c>
      <c r="AA3" s="477" t="s">
        <v>2017</v>
      </c>
      <c r="AB3" s="480" t="s">
        <v>2018</v>
      </c>
      <c r="AC3" s="480" t="s">
        <v>2019</v>
      </c>
      <c r="AD3" s="480"/>
      <c r="AG3" s="480"/>
      <c r="AH3" s="480"/>
    </row>
    <row r="4" spans="1:34" ht="9" customHeight="1">
      <c r="A4" s="479"/>
      <c r="B4" s="479"/>
      <c r="C4" s="477"/>
      <c r="D4" s="477"/>
      <c r="E4" s="477"/>
      <c r="F4" s="477"/>
      <c r="G4" s="477"/>
      <c r="H4" s="477"/>
      <c r="I4" s="477"/>
      <c r="J4" s="477"/>
      <c r="K4" s="477"/>
      <c r="L4" s="477"/>
      <c r="M4" s="477"/>
      <c r="N4" s="477"/>
      <c r="O4" s="477"/>
      <c r="P4" s="477"/>
      <c r="Q4" s="477"/>
      <c r="R4" s="477"/>
      <c r="S4" s="477"/>
      <c r="T4" s="477"/>
      <c r="U4" s="477"/>
      <c r="V4" s="477"/>
      <c r="W4" s="477"/>
      <c r="X4" s="477"/>
      <c r="Y4" s="582"/>
      <c r="Z4" s="480"/>
      <c r="AA4" s="483"/>
      <c r="AB4" s="480"/>
      <c r="AC4" s="480"/>
      <c r="AD4" s="480"/>
    </row>
    <row r="5" spans="1:34" ht="9" customHeight="1">
      <c r="A5" s="479"/>
      <c r="B5" s="479"/>
      <c r="C5" s="477"/>
      <c r="D5" s="477"/>
      <c r="E5" s="477"/>
      <c r="F5" s="477"/>
      <c r="G5" s="477"/>
      <c r="H5" s="477"/>
      <c r="I5" s="477"/>
      <c r="J5" s="477"/>
      <c r="K5" s="477"/>
      <c r="L5" s="477"/>
      <c r="M5" s="477"/>
      <c r="N5" s="477"/>
      <c r="O5" s="477"/>
      <c r="P5" s="477"/>
      <c r="Q5" s="477"/>
      <c r="R5" s="477"/>
      <c r="S5" s="477"/>
      <c r="T5" s="477"/>
      <c r="U5" s="477"/>
      <c r="V5" s="477"/>
      <c r="W5" s="477"/>
      <c r="X5" s="477"/>
      <c r="Y5" s="582"/>
      <c r="Z5" s="480"/>
      <c r="AA5" s="483"/>
      <c r="AB5" s="480"/>
      <c r="AC5" s="480"/>
      <c r="AD5" s="480"/>
    </row>
    <row r="6" spans="1:34" ht="9" customHeight="1">
      <c r="A6" s="479"/>
      <c r="B6" s="479"/>
      <c r="C6" s="477"/>
      <c r="D6" s="477"/>
      <c r="E6" s="477"/>
      <c r="F6" s="477"/>
      <c r="G6" s="477"/>
      <c r="H6" s="477"/>
      <c r="I6" s="477"/>
      <c r="J6" s="477"/>
      <c r="K6" s="477"/>
      <c r="L6" s="477"/>
      <c r="M6" s="477"/>
      <c r="N6" s="477"/>
      <c r="O6" s="477"/>
      <c r="P6" s="477"/>
      <c r="Q6" s="477"/>
      <c r="R6" s="477"/>
      <c r="S6" s="477"/>
      <c r="T6" s="477"/>
      <c r="U6" s="477"/>
      <c r="V6" s="477"/>
      <c r="W6" s="477"/>
      <c r="X6" s="477"/>
      <c r="Y6" s="582"/>
      <c r="Z6" s="480"/>
      <c r="AA6" s="483"/>
      <c r="AB6" s="480"/>
      <c r="AC6" s="480"/>
      <c r="AD6" s="480"/>
    </row>
    <row r="7" spans="1:34" ht="9" customHeight="1">
      <c r="A7" s="479"/>
      <c r="B7" s="479"/>
      <c r="C7" s="477"/>
      <c r="D7" s="477"/>
      <c r="E7" s="477"/>
      <c r="F7" s="477"/>
      <c r="G7" s="477"/>
      <c r="H7" s="477"/>
      <c r="I7" s="477"/>
      <c r="J7" s="477"/>
      <c r="K7" s="477"/>
      <c r="L7" s="477"/>
      <c r="M7" s="477"/>
      <c r="N7" s="477"/>
      <c r="O7" s="477"/>
      <c r="P7" s="477"/>
      <c r="Q7" s="477"/>
      <c r="R7" s="477"/>
      <c r="S7" s="477"/>
      <c r="T7" s="477"/>
      <c r="U7" s="477"/>
      <c r="V7" s="477"/>
      <c r="W7" s="477"/>
      <c r="X7" s="477"/>
      <c r="Y7" s="582"/>
      <c r="Z7" s="480"/>
      <c r="AA7" s="483"/>
      <c r="AB7" s="480"/>
      <c r="AC7" s="480"/>
      <c r="AD7" s="480"/>
    </row>
    <row r="8" spans="1:34" ht="9" customHeight="1">
      <c r="A8" s="479"/>
      <c r="B8" s="479"/>
      <c r="C8" s="477"/>
      <c r="D8" s="477"/>
      <c r="E8" s="477"/>
      <c r="F8" s="477"/>
      <c r="G8" s="477"/>
      <c r="H8" s="477"/>
      <c r="I8" s="477"/>
      <c r="J8" s="477"/>
      <c r="K8" s="477"/>
      <c r="L8" s="477"/>
      <c r="M8" s="477"/>
      <c r="N8" s="477"/>
      <c r="O8" s="477"/>
      <c r="P8" s="477"/>
      <c r="Q8" s="477"/>
      <c r="R8" s="477"/>
      <c r="S8" s="477"/>
      <c r="T8" s="477"/>
      <c r="U8" s="477"/>
      <c r="V8" s="477"/>
      <c r="W8" s="477"/>
      <c r="X8" s="477"/>
      <c r="Y8" s="582"/>
      <c r="Z8" s="480"/>
      <c r="AA8" s="483"/>
      <c r="AB8" s="480"/>
      <c r="AC8" s="480"/>
      <c r="AD8" s="480"/>
    </row>
    <row r="9" spans="1:34" ht="9" customHeight="1">
      <c r="A9" s="479"/>
      <c r="B9" s="479"/>
      <c r="C9" s="477"/>
      <c r="D9" s="477"/>
      <c r="E9" s="477"/>
      <c r="F9" s="477"/>
      <c r="G9" s="477"/>
      <c r="H9" s="477"/>
      <c r="I9" s="477"/>
      <c r="J9" s="477"/>
      <c r="K9" s="477"/>
      <c r="L9" s="477"/>
      <c r="M9" s="477"/>
      <c r="N9" s="477"/>
      <c r="O9" s="477"/>
      <c r="P9" s="477"/>
      <c r="Q9" s="477"/>
      <c r="R9" s="477"/>
      <c r="S9" s="477"/>
      <c r="T9" s="477"/>
      <c r="U9" s="477"/>
      <c r="V9" s="477"/>
      <c r="W9" s="477"/>
      <c r="X9" s="477"/>
      <c r="Y9" s="582"/>
      <c r="Z9" s="480"/>
      <c r="AA9" s="483"/>
      <c r="AB9" s="480"/>
      <c r="AC9" s="480"/>
      <c r="AD9" s="480"/>
    </row>
    <row r="10" spans="1:34" ht="9" customHeight="1">
      <c r="A10" s="518"/>
      <c r="B10" s="518"/>
      <c r="C10" s="518"/>
      <c r="D10" s="518"/>
      <c r="E10" s="518"/>
      <c r="F10" s="518"/>
      <c r="G10" s="518"/>
      <c r="H10" s="518"/>
      <c r="I10" s="518"/>
      <c r="J10" s="518"/>
      <c r="K10" s="518"/>
      <c r="L10" s="518"/>
      <c r="M10" s="518"/>
      <c r="N10" s="518"/>
      <c r="O10" s="518"/>
      <c r="P10" s="518"/>
      <c r="Q10" s="518"/>
      <c r="R10" s="518"/>
      <c r="S10" s="518"/>
      <c r="T10" s="518"/>
      <c r="U10" s="518"/>
      <c r="V10" s="518"/>
      <c r="W10" s="518"/>
      <c r="X10" s="518"/>
      <c r="Y10" s="518"/>
      <c r="Z10" s="518"/>
      <c r="AA10" s="518"/>
      <c r="AB10" s="518"/>
      <c r="AC10" s="518"/>
      <c r="AD10" s="518"/>
    </row>
    <row r="11" spans="1:34" ht="45" customHeight="1">
      <c r="A11" s="1545" t="s">
        <v>33</v>
      </c>
      <c r="B11" s="518">
        <v>1</v>
      </c>
      <c r="C11" s="1551" t="s">
        <v>1557</v>
      </c>
      <c r="D11" s="1551" t="s">
        <v>1553</v>
      </c>
      <c r="E11" s="1551" t="s">
        <v>1652</v>
      </c>
      <c r="F11" s="1551" t="s">
        <v>2020</v>
      </c>
      <c r="G11" s="1551"/>
      <c r="H11" s="517" t="s">
        <v>2021</v>
      </c>
      <c r="I11" s="517"/>
      <c r="J11" s="517"/>
      <c r="K11" s="517"/>
      <c r="L11" s="517"/>
      <c r="M11" s="478" t="str">
        <f>IF(TEMPLATE_SPHERE="HEAT",T11,U11)</f>
        <v xml:space="preserve">Количество поданных заявлений </v>
      </c>
      <c r="N11" s="478"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477"/>
      <c r="P11" s="477"/>
      <c r="Q11" s="477"/>
      <c r="R11" s="477"/>
      <c r="S11" s="477"/>
      <c r="T11" s="477" t="s">
        <v>2022</v>
      </c>
      <c r="U11" s="477" t="s">
        <v>2023</v>
      </c>
      <c r="V11" s="477"/>
      <c r="W11" s="477"/>
      <c r="X11" s="477"/>
      <c r="Y11" s="582"/>
      <c r="Z11" s="480" t="s">
        <v>2024</v>
      </c>
      <c r="AA11" s="48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480"/>
      <c r="AC11" s="480"/>
      <c r="AD11" s="480"/>
    </row>
    <row r="12" spans="1:34" ht="45" customHeight="1">
      <c r="A12" s="1545"/>
      <c r="B12" s="518">
        <v>2</v>
      </c>
      <c r="C12" s="1552"/>
      <c r="D12" s="1552"/>
      <c r="E12" s="1552"/>
      <c r="F12" s="1552"/>
      <c r="G12" s="1552"/>
      <c r="H12" s="517" t="s">
        <v>2025</v>
      </c>
      <c r="I12" s="517"/>
      <c r="J12" s="517"/>
      <c r="K12" s="517"/>
      <c r="L12" s="517"/>
      <c r="M12" s="478" t="str">
        <f>IF(TEMPLATE_SPHERE="HEAT",T12,U12)</f>
        <v xml:space="preserve">Количество исполненных заявлений </v>
      </c>
      <c r="N12" s="478"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477"/>
      <c r="P12" s="477"/>
      <c r="Q12" s="477"/>
      <c r="R12" s="477"/>
      <c r="S12" s="477"/>
      <c r="T12" s="477" t="s">
        <v>2026</v>
      </c>
      <c r="U12" s="477" t="s">
        <v>2027</v>
      </c>
      <c r="V12" s="477"/>
      <c r="W12" s="477"/>
      <c r="X12" s="477"/>
      <c r="Y12" s="582"/>
      <c r="Z12" s="480" t="s">
        <v>2028</v>
      </c>
      <c r="AA12" s="48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480"/>
      <c r="AC12" s="480"/>
      <c r="AD12" s="480"/>
    </row>
    <row r="13" spans="1:34" ht="72" customHeight="1">
      <c r="A13" s="1545"/>
      <c r="B13" s="518">
        <v>3</v>
      </c>
      <c r="C13" s="1552"/>
      <c r="D13" s="1552"/>
      <c r="E13" s="1552"/>
      <c r="F13" s="1552"/>
      <c r="G13" s="1552"/>
      <c r="H13" s="1544" t="s">
        <v>2029</v>
      </c>
      <c r="I13" s="517"/>
      <c r="J13" s="517"/>
      <c r="K13" s="517"/>
      <c r="L13" s="517"/>
      <c r="M13" s="478"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78"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477"/>
      <c r="P13" s="478"/>
      <c r="Q13" s="478"/>
      <c r="R13" s="478"/>
      <c r="S13" s="477"/>
      <c r="T13" s="477" t="s">
        <v>2030</v>
      </c>
      <c r="U13" s="478" t="s">
        <v>2031</v>
      </c>
      <c r="V13" s="478"/>
      <c r="W13" s="478"/>
      <c r="X13" s="477"/>
      <c r="Y13" s="582"/>
      <c r="Z13" s="480" t="s">
        <v>2032</v>
      </c>
      <c r="AA13" s="48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480"/>
      <c r="AC13" s="480"/>
      <c r="AD13" s="480"/>
    </row>
    <row r="14" spans="1:34" ht="45" customHeight="1">
      <c r="A14" s="1545"/>
      <c r="B14" s="518">
        <v>4</v>
      </c>
      <c r="C14" s="1552"/>
      <c r="D14" s="1552"/>
      <c r="E14" s="1552"/>
      <c r="F14" s="1552"/>
      <c r="G14" s="1552"/>
      <c r="H14" s="1544"/>
      <c r="I14" s="520"/>
      <c r="J14" s="520"/>
      <c r="K14" s="520"/>
      <c r="L14" s="520"/>
      <c r="M14" s="481"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47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7"/>
      <c r="P14" s="478"/>
      <c r="Q14" s="478"/>
      <c r="R14" s="478"/>
      <c r="S14" s="477"/>
      <c r="T14" s="477" t="s">
        <v>2033</v>
      </c>
      <c r="U14" s="47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478"/>
      <c r="W14" s="478"/>
      <c r="X14" s="477"/>
      <c r="Y14" s="582"/>
      <c r="Z14" s="480" t="s">
        <v>2034</v>
      </c>
      <c r="AA14" s="483" t="s">
        <v>2034</v>
      </c>
      <c r="AB14" s="480"/>
      <c r="AC14" s="480"/>
      <c r="AD14" s="480"/>
    </row>
    <row r="15" spans="1:34" ht="108" customHeight="1">
      <c r="A15" s="1545"/>
      <c r="B15" s="518">
        <v>5</v>
      </c>
      <c r="C15" s="1552"/>
      <c r="D15" s="1552"/>
      <c r="E15" s="1552"/>
      <c r="F15" s="1552"/>
      <c r="G15" s="1552"/>
      <c r="H15" s="1546" t="s">
        <v>2035</v>
      </c>
      <c r="I15" s="519"/>
      <c r="J15" s="519"/>
      <c r="K15" s="519"/>
      <c r="L15" s="519"/>
      <c r="M15" s="483"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482"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477"/>
      <c r="P15" s="478"/>
      <c r="Q15" s="478"/>
      <c r="R15" s="478"/>
      <c r="S15" s="477"/>
      <c r="T15" s="477" t="s">
        <v>2036</v>
      </c>
      <c r="U15" s="47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478"/>
      <c r="W15" s="478"/>
      <c r="X15" s="477"/>
      <c r="Y15" s="582"/>
      <c r="Z15" s="480" t="s">
        <v>2037</v>
      </c>
      <c r="AA15" s="48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480"/>
      <c r="AC15" s="480"/>
      <c r="AD15" s="480"/>
    </row>
    <row r="16" spans="1:34" ht="108" customHeight="1">
      <c r="A16" s="518"/>
      <c r="B16" s="518">
        <v>6</v>
      </c>
      <c r="C16" s="1553"/>
      <c r="D16" s="1553"/>
      <c r="E16" s="1553"/>
      <c r="F16" s="1553"/>
      <c r="G16" s="1553"/>
      <c r="H16" s="1547"/>
      <c r="I16" s="547"/>
      <c r="J16" s="547"/>
      <c r="K16" s="547"/>
      <c r="L16" s="547"/>
      <c r="M16" s="514"/>
      <c r="N16" s="482"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477"/>
      <c r="P16" s="478"/>
      <c r="Q16" s="478"/>
      <c r="R16" s="478"/>
      <c r="S16" s="477"/>
      <c r="T16" s="477"/>
      <c r="U16" s="478"/>
      <c r="V16" s="478"/>
      <c r="W16" s="478"/>
      <c r="X16" s="477"/>
      <c r="Y16" s="582"/>
      <c r="Z16" s="480" t="s">
        <v>2037</v>
      </c>
      <c r="AA16" s="48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480"/>
      <c r="AC16" s="480"/>
      <c r="AD16" s="480"/>
    </row>
    <row r="17" spans="1:30" ht="9" customHeight="1">
      <c r="A17" s="518"/>
      <c r="B17" s="518"/>
      <c r="C17" s="518">
        <v>22</v>
      </c>
      <c r="D17" s="518">
        <v>21</v>
      </c>
      <c r="E17" s="518">
        <v>42</v>
      </c>
      <c r="F17" s="518">
        <v>63</v>
      </c>
      <c r="G17" s="518"/>
      <c r="H17" s="518"/>
      <c r="I17" s="518"/>
      <c r="J17" s="518"/>
      <c r="K17" s="518"/>
      <c r="L17" s="518"/>
      <c r="M17" s="518"/>
      <c r="N17" s="518"/>
      <c r="O17" s="518"/>
      <c r="P17" s="518"/>
      <c r="Q17" s="518"/>
      <c r="R17" s="518"/>
      <c r="S17" s="518"/>
      <c r="T17" s="518"/>
      <c r="U17" s="518"/>
      <c r="V17" s="518"/>
      <c r="W17" s="518"/>
      <c r="X17" s="518"/>
      <c r="Y17" s="518"/>
      <c r="Z17" s="518"/>
      <c r="AA17" s="518"/>
      <c r="AB17" s="518"/>
      <c r="AC17" s="518"/>
      <c r="AD17" s="518"/>
    </row>
    <row r="18" spans="1:30" ht="27" customHeight="1">
      <c r="A18" s="479" t="s">
        <v>1655</v>
      </c>
      <c r="B18" s="518">
        <v>1</v>
      </c>
      <c r="C18" s="477" t="s">
        <v>2021</v>
      </c>
      <c r="D18" s="552" t="s">
        <v>2021</v>
      </c>
      <c r="E18" s="477" t="s">
        <v>2021</v>
      </c>
      <c r="F18" s="477" t="s">
        <v>2021</v>
      </c>
      <c r="G18" s="477"/>
      <c r="H18" s="584"/>
      <c r="I18" s="585">
        <f t="shared" ref="I18:I49" si="1">INDEX(TEMPLATE_NUMBER_POINT_FHD,B18,MATCH(TEMPLATE_SPHERE,TEMPLATE_SPHERE_LIST_FOR_NOTE,0))</f>
        <v>1</v>
      </c>
      <c r="J18" s="585" t="str">
        <f t="shared" ref="J18:J49" si="2">INDEX(TEMPLATE_DATA_POINT_FHD,B18,MATCH(TEMPLATE_SPHERE,TEMPLATE_SPHERE_LIST_FOR_NOTE,0))</f>
        <v>Выручка от регулируемых видов деятельности в сфере холодного водоснабжения</v>
      </c>
      <c r="K18" s="585" t="str">
        <f t="shared" ref="K18:K49" si="3">INDEX(TEMPLATE_NOTE_POINT_FHD,B18,MATCH(TEMPLATE_SPHERE,TEMPLATE_SPHERE_LIST_FOR_NOTE,0))</f>
        <v>Указывается выручка с распределением по видам деятельности.</v>
      </c>
      <c r="L18" s="478">
        <f t="shared" ref="L18:L49" si="4">IF(I18=0,"",I18)</f>
        <v>1</v>
      </c>
      <c r="M18" s="478" t="str">
        <f t="shared" ref="M18:M49" si="5">IF(J18=0,"",J18)</f>
        <v>Выручка от регулируемых видов деятельности в сфере холодного водоснабжения</v>
      </c>
      <c r="N18" s="478" t="str">
        <f t="shared" ref="N18:N49" si="6">IF(K18=0,"",K18)</f>
        <v>Указывается выручка с распределением по видам деятельности.</v>
      </c>
      <c r="O18" s="542">
        <v>1</v>
      </c>
      <c r="P18" s="542">
        <v>1</v>
      </c>
      <c r="Q18" s="542">
        <v>1</v>
      </c>
      <c r="R18" s="542">
        <v>1</v>
      </c>
      <c r="S18" s="542"/>
      <c r="T18" s="549" t="s">
        <v>2038</v>
      </c>
      <c r="U18" s="480" t="s">
        <v>2039</v>
      </c>
      <c r="V18" s="480" t="s">
        <v>2040</v>
      </c>
      <c r="W18" s="480" t="s">
        <v>2041</v>
      </c>
      <c r="X18" s="477"/>
      <c r="Y18" s="582"/>
      <c r="Z18" s="480" t="s">
        <v>2042</v>
      </c>
      <c r="AA18" s="483" t="s">
        <v>2043</v>
      </c>
      <c r="AB18" s="483" t="s">
        <v>2043</v>
      </c>
      <c r="AC18" s="483" t="s">
        <v>2043</v>
      </c>
      <c r="AD18" s="480"/>
    </row>
    <row r="19" spans="1:30" ht="36" customHeight="1">
      <c r="A19" s="479"/>
      <c r="B19" s="518">
        <v>2</v>
      </c>
      <c r="C19" s="477" t="s">
        <v>2025</v>
      </c>
      <c r="D19" s="552" t="s">
        <v>2025</v>
      </c>
      <c r="E19" s="477" t="s">
        <v>2025</v>
      </c>
      <c r="F19" s="477" t="s">
        <v>2025</v>
      </c>
      <c r="G19" s="477"/>
      <c r="H19" s="584"/>
      <c r="I19" s="585">
        <f t="shared" si="1"/>
        <v>2</v>
      </c>
      <c r="J19" s="585" t="str">
        <f t="shared" si="2"/>
        <v>Себестоимость производимых товаров (оказываемых услуг) по регулируемым видам деятельности в сфере холодного водоснабжения, включая:</v>
      </c>
      <c r="K19" s="585" t="str">
        <f t="shared" si="3"/>
        <v>Указывается суммарная себестоимость производимых товаров.</v>
      </c>
      <c r="L19" s="478">
        <f t="shared" si="4"/>
        <v>2</v>
      </c>
      <c r="M19" s="478" t="str">
        <f t="shared" si="5"/>
        <v>Себестоимость производимых товаров (оказываемых услуг) по регулируемым видам деятельности в сфере холодного водоснабжения, включая:</v>
      </c>
      <c r="N19" s="478" t="str">
        <f t="shared" si="6"/>
        <v>Указывается суммарная себестоимость производимых товаров.</v>
      </c>
      <c r="O19" s="542">
        <v>2</v>
      </c>
      <c r="P19" s="542">
        <v>2</v>
      </c>
      <c r="Q19" s="542">
        <v>2</v>
      </c>
      <c r="R19" s="542">
        <v>2</v>
      </c>
      <c r="S19" s="542"/>
      <c r="T19" s="549" t="s">
        <v>2044</v>
      </c>
      <c r="U19" s="480" t="s">
        <v>2045</v>
      </c>
      <c r="V19" s="480" t="s">
        <v>2046</v>
      </c>
      <c r="W19" s="480" t="s">
        <v>2047</v>
      </c>
      <c r="X19" s="477"/>
      <c r="Y19" s="582"/>
      <c r="Z19" s="480" t="s">
        <v>2048</v>
      </c>
      <c r="AA19" s="483" t="s">
        <v>2048</v>
      </c>
      <c r="AB19" s="483" t="s">
        <v>2048</v>
      </c>
      <c r="AC19" s="483" t="s">
        <v>2048</v>
      </c>
      <c r="AD19" s="480"/>
    </row>
    <row r="20" spans="1:30" ht="27" customHeight="1">
      <c r="A20" s="479"/>
      <c r="B20" s="518">
        <v>3</v>
      </c>
      <c r="C20" s="477">
        <v>1</v>
      </c>
      <c r="D20" s="552"/>
      <c r="E20" s="477"/>
      <c r="F20" s="477"/>
      <c r="G20" s="477"/>
      <c r="H20" s="584"/>
      <c r="I20" s="585" t="str">
        <f t="shared" si="1"/>
        <v>2.1</v>
      </c>
      <c r="J20" s="585" t="str">
        <f t="shared" si="2"/>
        <v>Расходы на оплату холодной воды, приобретаемой у других организаций для последующей подачи потребителям</v>
      </c>
      <c r="K20" s="585">
        <f t="shared" si="3"/>
        <v>0</v>
      </c>
      <c r="L20" s="478" t="str">
        <f t="shared" si="4"/>
        <v>2.1</v>
      </c>
      <c r="M20" s="478" t="str">
        <f t="shared" si="5"/>
        <v>Расходы на оплату холодной воды, приобретаемой у других организаций для последующей подачи потребителям</v>
      </c>
      <c r="N20" s="478" t="str">
        <f t="shared" si="6"/>
        <v/>
      </c>
      <c r="O20" s="542" t="s">
        <v>707</v>
      </c>
      <c r="P20" s="542" t="s">
        <v>707</v>
      </c>
      <c r="Q20" s="542" t="s">
        <v>707</v>
      </c>
      <c r="R20" s="542" t="s">
        <v>707</v>
      </c>
      <c r="S20" s="542"/>
      <c r="T20" s="549" t="s">
        <v>2049</v>
      </c>
      <c r="U20" s="480" t="s">
        <v>2050</v>
      </c>
      <c r="V20" s="480" t="s">
        <v>2051</v>
      </c>
      <c r="W20" s="480" t="s">
        <v>2052</v>
      </c>
      <c r="X20" s="477"/>
      <c r="Y20" s="582"/>
      <c r="Z20" s="480"/>
      <c r="AA20" s="483"/>
      <c r="AB20" s="480"/>
      <c r="AC20" s="480"/>
      <c r="AD20" s="480"/>
    </row>
    <row r="21" spans="1:30" ht="36" customHeight="1">
      <c r="A21" s="479"/>
      <c r="B21" s="518">
        <v>4</v>
      </c>
      <c r="C21" s="477">
        <v>2</v>
      </c>
      <c r="D21" s="552"/>
      <c r="E21" s="477"/>
      <c r="F21" s="477"/>
      <c r="G21" s="477"/>
      <c r="H21" s="584"/>
      <c r="I21" s="585">
        <f t="shared" si="1"/>
        <v>0</v>
      </c>
      <c r="J21" s="585">
        <f t="shared" si="2"/>
        <v>0</v>
      </c>
      <c r="K21" s="585">
        <f t="shared" si="3"/>
        <v>0</v>
      </c>
      <c r="L21" s="478" t="str">
        <f t="shared" si="4"/>
        <v/>
      </c>
      <c r="M21" s="478" t="str">
        <f t="shared" si="5"/>
        <v/>
      </c>
      <c r="N21" s="478" t="str">
        <f t="shared" si="6"/>
        <v/>
      </c>
      <c r="O21" s="542" t="s">
        <v>307</v>
      </c>
      <c r="P21" s="542"/>
      <c r="Q21" s="542"/>
      <c r="R21" s="542"/>
      <c r="S21" s="542"/>
      <c r="T21" s="549" t="s">
        <v>2053</v>
      </c>
      <c r="U21" s="480"/>
      <c r="V21" s="480"/>
      <c r="W21" s="480"/>
      <c r="X21" s="477"/>
      <c r="Y21" s="582"/>
      <c r="Z21" s="480" t="s">
        <v>2054</v>
      </c>
      <c r="AA21" s="483"/>
      <c r="AB21" s="480"/>
      <c r="AC21" s="480"/>
      <c r="AD21" s="480"/>
    </row>
    <row r="22" spans="1:30" ht="36" customHeight="1">
      <c r="A22" s="479"/>
      <c r="B22" s="518">
        <v>5</v>
      </c>
      <c r="C22" s="477">
        <v>3</v>
      </c>
      <c r="D22" s="552"/>
      <c r="E22" s="477"/>
      <c r="F22" s="477"/>
      <c r="G22" s="513"/>
      <c r="H22" s="543"/>
      <c r="I22" s="585">
        <f t="shared" si="1"/>
        <v>0</v>
      </c>
      <c r="J22" s="585">
        <f t="shared" si="2"/>
        <v>0</v>
      </c>
      <c r="K22" s="585">
        <f t="shared" si="3"/>
        <v>0</v>
      </c>
      <c r="L22" s="478" t="str">
        <f t="shared" si="4"/>
        <v/>
      </c>
      <c r="M22" s="478" t="str">
        <f t="shared" si="5"/>
        <v/>
      </c>
      <c r="N22" s="478" t="str">
        <f t="shared" si="6"/>
        <v/>
      </c>
      <c r="O22" s="542"/>
      <c r="P22" s="542"/>
      <c r="Q22" s="542" t="s">
        <v>307</v>
      </c>
      <c r="R22" s="542"/>
      <c r="S22" s="542"/>
      <c r="T22" s="549"/>
      <c r="U22" s="480"/>
      <c r="V22" s="480" t="s">
        <v>2055</v>
      </c>
      <c r="W22" s="480"/>
      <c r="X22" s="477"/>
      <c r="Y22" s="582"/>
      <c r="Z22" s="480"/>
      <c r="AA22" s="483"/>
      <c r="AB22" s="480"/>
      <c r="AC22" s="480"/>
      <c r="AD22" s="480"/>
    </row>
    <row r="23" spans="1:30" ht="27" customHeight="1">
      <c r="A23" s="479"/>
      <c r="B23" s="518">
        <v>6</v>
      </c>
      <c r="C23" s="477">
        <v>4</v>
      </c>
      <c r="D23" s="552"/>
      <c r="E23" s="477"/>
      <c r="F23" s="477"/>
      <c r="G23" s="513"/>
      <c r="H23" s="543"/>
      <c r="I23" s="585">
        <f t="shared" si="1"/>
        <v>0</v>
      </c>
      <c r="J23" s="585">
        <f t="shared" si="2"/>
        <v>0</v>
      </c>
      <c r="K23" s="585">
        <f t="shared" si="3"/>
        <v>0</v>
      </c>
      <c r="L23" s="478" t="str">
        <f t="shared" si="4"/>
        <v/>
      </c>
      <c r="M23" s="478" t="str">
        <f t="shared" si="5"/>
        <v/>
      </c>
      <c r="N23" s="478" t="str">
        <f t="shared" si="6"/>
        <v/>
      </c>
      <c r="O23" s="542"/>
      <c r="P23" s="542"/>
      <c r="Q23" s="542" t="s">
        <v>310</v>
      </c>
      <c r="R23" s="542"/>
      <c r="S23" s="542"/>
      <c r="T23" s="549"/>
      <c r="U23" s="480"/>
      <c r="V23" s="480" t="s">
        <v>2056</v>
      </c>
      <c r="W23" s="480"/>
      <c r="X23" s="477"/>
      <c r="Y23" s="582"/>
      <c r="Z23" s="480"/>
      <c r="AA23" s="483"/>
      <c r="AB23" s="480"/>
      <c r="AC23" s="480"/>
      <c r="AD23" s="480"/>
    </row>
    <row r="24" spans="1:30" ht="36" customHeight="1">
      <c r="A24" s="479"/>
      <c r="B24" s="518">
        <v>7</v>
      </c>
      <c r="C24" s="477">
        <v>5</v>
      </c>
      <c r="D24" s="552"/>
      <c r="E24" s="477"/>
      <c r="F24" s="477"/>
      <c r="G24" s="513"/>
      <c r="H24" s="543"/>
      <c r="I24" s="585">
        <f t="shared" si="1"/>
        <v>0</v>
      </c>
      <c r="J24" s="585">
        <f t="shared" si="2"/>
        <v>0</v>
      </c>
      <c r="K24" s="585">
        <f t="shared" si="3"/>
        <v>0</v>
      </c>
      <c r="L24" s="478" t="str">
        <f t="shared" si="4"/>
        <v/>
      </c>
      <c r="M24" s="478" t="str">
        <f t="shared" si="5"/>
        <v/>
      </c>
      <c r="N24" s="478" t="str">
        <f t="shared" si="6"/>
        <v/>
      </c>
      <c r="O24" s="542"/>
      <c r="P24" s="542"/>
      <c r="Q24" s="542" t="s">
        <v>727</v>
      </c>
      <c r="R24" s="542"/>
      <c r="S24" s="542"/>
      <c r="T24" s="549"/>
      <c r="U24" s="480"/>
      <c r="V24" s="480" t="s">
        <v>2057</v>
      </c>
      <c r="W24" s="480"/>
      <c r="X24" s="477"/>
      <c r="Y24" s="582"/>
      <c r="Z24" s="480"/>
      <c r="AA24" s="483"/>
      <c r="AB24" s="480"/>
      <c r="AC24" s="480"/>
      <c r="AD24" s="480"/>
    </row>
    <row r="25" spans="1:30" ht="36" customHeight="1">
      <c r="A25" s="479"/>
      <c r="B25" s="518">
        <v>8</v>
      </c>
      <c r="C25" s="477">
        <v>6</v>
      </c>
      <c r="D25" s="552"/>
      <c r="E25" s="477"/>
      <c r="F25" s="477"/>
      <c r="G25" s="513"/>
      <c r="H25" s="543"/>
      <c r="I25" s="585" t="str">
        <f t="shared" si="1"/>
        <v>2.2</v>
      </c>
      <c r="J25" s="585" t="str">
        <f t="shared" si="2"/>
        <v>Расходы на приобретаемую электрическую энергию (мощность), используемую в технологическом процессе</v>
      </c>
      <c r="K25" s="585">
        <f t="shared" si="3"/>
        <v>0</v>
      </c>
      <c r="L25" s="478" t="str">
        <f t="shared" si="4"/>
        <v>2.2</v>
      </c>
      <c r="M25" s="478" t="str">
        <f t="shared" si="5"/>
        <v>Расходы на приобретаемую электрическую энергию (мощность), используемую в технологическом процессе</v>
      </c>
      <c r="N25" s="478" t="str">
        <f t="shared" si="6"/>
        <v/>
      </c>
      <c r="O25" s="542" t="s">
        <v>310</v>
      </c>
      <c r="P25" s="542" t="s">
        <v>307</v>
      </c>
      <c r="Q25" s="542" t="s">
        <v>734</v>
      </c>
      <c r="R25" s="542" t="s">
        <v>307</v>
      </c>
      <c r="S25" s="542"/>
      <c r="T25" s="549" t="s">
        <v>2058</v>
      </c>
      <c r="U25" s="480" t="s">
        <v>2058</v>
      </c>
      <c r="V25" s="480" t="s">
        <v>2058</v>
      </c>
      <c r="W25" s="480" t="s">
        <v>2058</v>
      </c>
      <c r="X25" s="477"/>
      <c r="Y25" s="582"/>
      <c r="Z25" s="480"/>
      <c r="AA25" s="483"/>
      <c r="AB25" s="480"/>
      <c r="AC25" s="480"/>
      <c r="AD25" s="480"/>
    </row>
    <row r="26" spans="1:30" ht="18" customHeight="1">
      <c r="A26" s="479"/>
      <c r="B26" s="518">
        <v>9</v>
      </c>
      <c r="C26" s="477" t="s">
        <v>651</v>
      </c>
      <c r="D26" s="552"/>
      <c r="E26" s="477"/>
      <c r="F26" s="477"/>
      <c r="G26" s="513"/>
      <c r="H26" s="543"/>
      <c r="I26" s="585" t="str">
        <f t="shared" si="1"/>
        <v>2.2.1</v>
      </c>
      <c r="J26" s="585" t="str">
        <f t="shared" si="2"/>
        <v>Средневзвешенная стоимость 1 кВт.ч (с учетом мощности)</v>
      </c>
      <c r="K26" s="585">
        <f t="shared" si="3"/>
        <v>0</v>
      </c>
      <c r="L26" s="478" t="str">
        <f t="shared" si="4"/>
        <v>2.2.1</v>
      </c>
      <c r="M26" s="478" t="str">
        <f t="shared" si="5"/>
        <v>Средневзвешенная стоимость 1 кВт.ч (с учетом мощности)</v>
      </c>
      <c r="N26" s="478" t="str">
        <f t="shared" si="6"/>
        <v/>
      </c>
      <c r="O26" s="542" t="s">
        <v>723</v>
      </c>
      <c r="P26" s="542" t="s">
        <v>717</v>
      </c>
      <c r="Q26" s="542" t="s">
        <v>2059</v>
      </c>
      <c r="R26" s="542" t="s">
        <v>717</v>
      </c>
      <c r="S26" s="542"/>
      <c r="T26" s="549" t="str">
        <f>"Средневзвешенная стоимость 1 кВт.ч"&amp;IF(TITLE_TYPE_ORG="Регулируемая организация"," (с учетом мощности)","")</f>
        <v>Средневзвешенная стоимость 1 кВт.ч</v>
      </c>
      <c r="U26" s="549" t="s">
        <v>2060</v>
      </c>
      <c r="V26" s="549" t="s">
        <v>2060</v>
      </c>
      <c r="W26" s="549" t="s">
        <v>2060</v>
      </c>
      <c r="X26" s="477"/>
      <c r="Y26" s="582"/>
      <c r="Z26" s="480"/>
      <c r="AA26" s="483"/>
      <c r="AB26" s="480"/>
      <c r="AC26" s="480"/>
      <c r="AD26" s="480"/>
    </row>
    <row r="27" spans="1:30" ht="18" customHeight="1">
      <c r="A27" s="479"/>
      <c r="B27" s="518">
        <v>10</v>
      </c>
      <c r="C27" s="477" t="s">
        <v>655</v>
      </c>
      <c r="D27" s="552"/>
      <c r="E27" s="477"/>
      <c r="F27" s="477"/>
      <c r="G27" s="513"/>
      <c r="H27" s="543"/>
      <c r="I27" s="585" t="str">
        <f t="shared" si="1"/>
        <v>2.2.2</v>
      </c>
      <c r="J27" s="585" t="str">
        <f t="shared" si="2"/>
        <v>Объём приобретения электрической энергии</v>
      </c>
      <c r="K27" s="585">
        <f t="shared" si="3"/>
        <v>0</v>
      </c>
      <c r="L27" s="478" t="str">
        <f t="shared" si="4"/>
        <v>2.2.2</v>
      </c>
      <c r="M27" s="478" t="str">
        <f t="shared" si="5"/>
        <v>Объём приобретения электрической энергии</v>
      </c>
      <c r="N27" s="478" t="str">
        <f t="shared" si="6"/>
        <v/>
      </c>
      <c r="O27" s="542" t="s">
        <v>725</v>
      </c>
      <c r="P27" s="542" t="s">
        <v>719</v>
      </c>
      <c r="Q27" s="542" t="s">
        <v>2061</v>
      </c>
      <c r="R27" s="542" t="s">
        <v>719</v>
      </c>
      <c r="S27" s="542"/>
      <c r="T27" s="549" t="s">
        <v>2062</v>
      </c>
      <c r="U27" s="549" t="s">
        <v>2062</v>
      </c>
      <c r="V27" s="549" t="s">
        <v>2062</v>
      </c>
      <c r="W27" s="549" t="s">
        <v>2062</v>
      </c>
      <c r="X27" s="477"/>
      <c r="Y27" s="582"/>
      <c r="Z27" s="480"/>
      <c r="AA27" s="483"/>
      <c r="AB27" s="480"/>
      <c r="AC27" s="480"/>
      <c r="AD27" s="480"/>
    </row>
    <row r="28" spans="1:30" ht="27" customHeight="1">
      <c r="A28" s="479"/>
      <c r="B28" s="518">
        <v>11</v>
      </c>
      <c r="C28" s="477">
        <v>7</v>
      </c>
      <c r="D28" s="552"/>
      <c r="E28" s="477"/>
      <c r="F28" s="477"/>
      <c r="G28" s="513"/>
      <c r="H28" s="543"/>
      <c r="I28" s="585">
        <f t="shared" si="1"/>
        <v>0</v>
      </c>
      <c r="J28" s="585">
        <f t="shared" si="2"/>
        <v>0</v>
      </c>
      <c r="K28" s="585">
        <f t="shared" si="3"/>
        <v>0</v>
      </c>
      <c r="L28" s="478" t="str">
        <f t="shared" si="4"/>
        <v/>
      </c>
      <c r="M28" s="478" t="str">
        <f t="shared" si="5"/>
        <v/>
      </c>
      <c r="N28" s="478" t="str">
        <f t="shared" si="6"/>
        <v/>
      </c>
      <c r="O28" s="542" t="s">
        <v>727</v>
      </c>
      <c r="P28" s="542"/>
      <c r="Q28" s="542"/>
      <c r="R28" s="542"/>
      <c r="S28" s="542"/>
      <c r="T28" s="549" t="s">
        <v>2063</v>
      </c>
      <c r="U28" s="480"/>
      <c r="V28" s="480"/>
      <c r="W28" s="480"/>
      <c r="X28" s="477"/>
      <c r="Y28" s="582"/>
      <c r="Z28" s="480"/>
      <c r="AA28" s="483"/>
      <c r="AB28" s="480"/>
      <c r="AC28" s="480"/>
      <c r="AD28" s="480"/>
    </row>
    <row r="29" spans="1:30" ht="27" customHeight="1">
      <c r="A29" s="479"/>
      <c r="B29" s="518">
        <v>12</v>
      </c>
      <c r="C29" s="477">
        <v>8</v>
      </c>
      <c r="D29" s="552"/>
      <c r="E29" s="477"/>
      <c r="F29" s="477"/>
      <c r="G29" s="513"/>
      <c r="H29" s="543"/>
      <c r="I29" s="585" t="str">
        <f t="shared" si="1"/>
        <v>2.3</v>
      </c>
      <c r="J29" s="585" t="str">
        <f t="shared" si="2"/>
        <v>Расходы на химические реагенты, используемые в технологическом процессе</v>
      </c>
      <c r="K29" s="585">
        <f t="shared" si="3"/>
        <v>0</v>
      </c>
      <c r="L29" s="478" t="str">
        <f t="shared" si="4"/>
        <v>2.3</v>
      </c>
      <c r="M29" s="478" t="str">
        <f t="shared" si="5"/>
        <v>Расходы на химические реагенты, используемые в технологическом процессе</v>
      </c>
      <c r="N29" s="478" t="str">
        <f t="shared" si="6"/>
        <v/>
      </c>
      <c r="O29" s="542" t="s">
        <v>734</v>
      </c>
      <c r="P29" s="542" t="s">
        <v>310</v>
      </c>
      <c r="Q29" s="542"/>
      <c r="R29" s="542" t="s">
        <v>310</v>
      </c>
      <c r="S29" s="542"/>
      <c r="T29" s="54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0" t="s">
        <v>2064</v>
      </c>
      <c r="V29" s="480"/>
      <c r="W29" s="480" t="s">
        <v>2064</v>
      </c>
      <c r="X29" s="477"/>
      <c r="Y29" s="582"/>
      <c r="Z29" s="480"/>
      <c r="AA29" s="483"/>
      <c r="AB29" s="480"/>
      <c r="AC29" s="480"/>
      <c r="AD29" s="480"/>
    </row>
    <row r="30" spans="1:30" ht="54" customHeight="1">
      <c r="A30" s="479"/>
      <c r="B30" s="518">
        <v>13</v>
      </c>
      <c r="C30" s="477">
        <v>9</v>
      </c>
      <c r="D30" s="552"/>
      <c r="E30" s="477"/>
      <c r="F30" s="477"/>
      <c r="G30" s="513"/>
      <c r="H30" s="543"/>
      <c r="I30" s="585" t="str">
        <f t="shared" si="1"/>
        <v>2.4</v>
      </c>
      <c r="J30" s="58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5" t="str">
        <f t="shared" si="3"/>
        <v>Указывается общая сумма расходов на оплату труда и отчислений на социальные нужды основного производственного персонала.</v>
      </c>
      <c r="L30" s="478" t="str">
        <f t="shared" si="4"/>
        <v>2.4</v>
      </c>
      <c r="M30" s="47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78" t="str">
        <f t="shared" si="6"/>
        <v>Указывается общая сумма расходов на оплату труда и отчислений на социальные нужды основного производственного персонала.</v>
      </c>
      <c r="O30" s="542" t="s">
        <v>736</v>
      </c>
      <c r="P30" s="542" t="s">
        <v>727</v>
      </c>
      <c r="Q30" s="542" t="s">
        <v>736</v>
      </c>
      <c r="R30" s="542" t="s">
        <v>727</v>
      </c>
      <c r="S30" s="542"/>
      <c r="T30" s="549" t="s">
        <v>2065</v>
      </c>
      <c r="U30" s="480" t="s">
        <v>2065</v>
      </c>
      <c r="V30" s="480" t="s">
        <v>2065</v>
      </c>
      <c r="W30" s="480" t="s">
        <v>2065</v>
      </c>
      <c r="X30" s="477"/>
      <c r="Y30" s="582"/>
      <c r="Z30" s="480"/>
      <c r="AA30" s="483" t="s">
        <v>2066</v>
      </c>
      <c r="AB30" s="483" t="s">
        <v>2066</v>
      </c>
      <c r="AC30" s="483" t="s">
        <v>2066</v>
      </c>
      <c r="AD30" s="480"/>
    </row>
    <row r="31" spans="1:30" ht="18" customHeight="1">
      <c r="A31" s="479"/>
      <c r="B31" s="518">
        <v>14</v>
      </c>
      <c r="C31" s="477" t="s">
        <v>2067</v>
      </c>
      <c r="D31" s="552"/>
      <c r="E31" s="477"/>
      <c r="F31" s="477"/>
      <c r="G31" s="513"/>
      <c r="H31" s="543"/>
      <c r="I31" s="585" t="str">
        <f t="shared" si="1"/>
        <v>2.4.1</v>
      </c>
      <c r="J31" s="585" t="str">
        <f t="shared" si="2"/>
        <v>Расходы на оплату труда основного производственного персонала</v>
      </c>
      <c r="K31" s="585">
        <f t="shared" si="3"/>
        <v>0</v>
      </c>
      <c r="L31" s="478" t="str">
        <f t="shared" si="4"/>
        <v>2.4.1</v>
      </c>
      <c r="M31" s="478" t="str">
        <f t="shared" si="5"/>
        <v>Расходы на оплату труда основного производственного персонала</v>
      </c>
      <c r="N31" s="478" t="str">
        <f t="shared" si="6"/>
        <v/>
      </c>
      <c r="O31" s="542" t="s">
        <v>2068</v>
      </c>
      <c r="P31" s="542" t="s">
        <v>730</v>
      </c>
      <c r="Q31" s="542" t="s">
        <v>2068</v>
      </c>
      <c r="R31" s="542" t="s">
        <v>730</v>
      </c>
      <c r="S31" s="542"/>
      <c r="T31" s="550" t="s">
        <v>2069</v>
      </c>
      <c r="U31" s="480" t="s">
        <v>2069</v>
      </c>
      <c r="V31" s="480" t="s">
        <v>2069</v>
      </c>
      <c r="W31" s="480" t="s">
        <v>2069</v>
      </c>
      <c r="X31" s="477"/>
      <c r="Y31" s="582"/>
      <c r="Z31" s="480"/>
      <c r="AA31" s="483"/>
      <c r="AB31" s="483"/>
      <c r="AC31" s="483"/>
      <c r="AD31" s="480"/>
    </row>
    <row r="32" spans="1:30" ht="36" customHeight="1">
      <c r="A32" s="479"/>
      <c r="B32" s="518">
        <v>15</v>
      </c>
      <c r="C32" s="477" t="s">
        <v>2070</v>
      </c>
      <c r="D32" s="552"/>
      <c r="E32" s="477"/>
      <c r="F32" s="477"/>
      <c r="G32" s="513"/>
      <c r="H32" s="543"/>
      <c r="I32" s="585" t="str">
        <f t="shared" si="1"/>
        <v>2.4.2</v>
      </c>
      <c r="J32" s="585"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5">
        <f t="shared" si="3"/>
        <v>0</v>
      </c>
      <c r="L32" s="478" t="str">
        <f t="shared" si="4"/>
        <v>2.4.2</v>
      </c>
      <c r="M32" s="478" t="str">
        <f t="shared" si="5"/>
        <v>Страховые взносы на обязательное социальное страхование, выплачиваемые из фонда оплаты труда основного производственного персонала</v>
      </c>
      <c r="N32" s="478" t="str">
        <f t="shared" si="6"/>
        <v/>
      </c>
      <c r="O32" s="542" t="s">
        <v>2071</v>
      </c>
      <c r="P32" s="542" t="s">
        <v>732</v>
      </c>
      <c r="Q32" s="542" t="s">
        <v>2071</v>
      </c>
      <c r="R32" s="542" t="s">
        <v>732</v>
      </c>
      <c r="S32" s="542"/>
      <c r="T32" s="55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0" t="s">
        <v>2072</v>
      </c>
      <c r="V32" s="480" t="s">
        <v>2072</v>
      </c>
      <c r="W32" s="480" t="s">
        <v>2072</v>
      </c>
      <c r="X32" s="477"/>
      <c r="Y32" s="582"/>
      <c r="Z32" s="480"/>
      <c r="AA32" s="483"/>
      <c r="AB32" s="483"/>
      <c r="AC32" s="483"/>
      <c r="AD32" s="480"/>
    </row>
    <row r="33" spans="1:30" ht="45" customHeight="1">
      <c r="A33" s="479"/>
      <c r="B33" s="518">
        <v>16</v>
      </c>
      <c r="C33" s="477">
        <v>10</v>
      </c>
      <c r="D33" s="552"/>
      <c r="E33" s="477"/>
      <c r="F33" s="477"/>
      <c r="G33" s="513"/>
      <c r="H33" s="543"/>
      <c r="I33" s="585" t="str">
        <f t="shared" si="1"/>
        <v>2.5</v>
      </c>
      <c r="J33" s="58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5" t="str">
        <f t="shared" si="3"/>
        <v>Указывается общая сумма расходов на оплату труда и отчислений на социальные нужды административно-управленческого персонала.</v>
      </c>
      <c r="L33" s="478" t="str">
        <f t="shared" si="4"/>
        <v>2.5</v>
      </c>
      <c r="M33" s="47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78" t="str">
        <f t="shared" si="6"/>
        <v>Указывается общая сумма расходов на оплату труда и отчислений на социальные нужды административно-управленческого персонала.</v>
      </c>
      <c r="O33" s="542" t="s">
        <v>738</v>
      </c>
      <c r="P33" s="542" t="s">
        <v>734</v>
      </c>
      <c r="Q33" s="542" t="s">
        <v>738</v>
      </c>
      <c r="R33" s="542" t="s">
        <v>734</v>
      </c>
      <c r="S33" s="542"/>
      <c r="T33" s="55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0" t="s">
        <v>2073</v>
      </c>
      <c r="V33" s="480" t="s">
        <v>2073</v>
      </c>
      <c r="W33" s="480" t="s">
        <v>2074</v>
      </c>
      <c r="X33" s="477"/>
      <c r="Y33" s="582"/>
      <c r="Z33" s="480"/>
      <c r="AA33" s="483" t="s">
        <v>2075</v>
      </c>
      <c r="AB33" s="483" t="s">
        <v>2075</v>
      </c>
      <c r="AC33" s="483" t="s">
        <v>2075</v>
      </c>
      <c r="AD33" s="480"/>
    </row>
    <row r="34" spans="1:30" ht="27" customHeight="1">
      <c r="A34" s="479"/>
      <c r="B34" s="518">
        <v>17</v>
      </c>
      <c r="C34" s="477" t="s">
        <v>2076</v>
      </c>
      <c r="D34" s="552"/>
      <c r="E34" s="477"/>
      <c r="F34" s="477"/>
      <c r="G34" s="513"/>
      <c r="H34" s="543"/>
      <c r="I34" s="585" t="str">
        <f t="shared" si="1"/>
        <v>2.5.1</v>
      </c>
      <c r="J34" s="585" t="str">
        <f t="shared" si="2"/>
        <v>Расходы на оплату труда административно-управленческого персонала</v>
      </c>
      <c r="K34" s="585">
        <f t="shared" si="3"/>
        <v>0</v>
      </c>
      <c r="L34" s="478" t="str">
        <f t="shared" si="4"/>
        <v>2.5.1</v>
      </c>
      <c r="M34" s="478" t="str">
        <f t="shared" si="5"/>
        <v>Расходы на оплату труда административно-управленческого персонала</v>
      </c>
      <c r="N34" s="478" t="str">
        <f t="shared" si="6"/>
        <v/>
      </c>
      <c r="O34" s="542" t="s">
        <v>2077</v>
      </c>
      <c r="P34" s="542" t="s">
        <v>2059</v>
      </c>
      <c r="Q34" s="542" t="s">
        <v>2077</v>
      </c>
      <c r="R34" s="542" t="s">
        <v>2059</v>
      </c>
      <c r="S34" s="542"/>
      <c r="T34" s="551" t="s">
        <v>2078</v>
      </c>
      <c r="U34" s="480" t="s">
        <v>2078</v>
      </c>
      <c r="V34" s="480" t="s">
        <v>2078</v>
      </c>
      <c r="W34" s="480" t="s">
        <v>2079</v>
      </c>
      <c r="X34" s="477"/>
      <c r="Y34" s="582"/>
      <c r="Z34" s="480"/>
      <c r="AA34" s="483"/>
      <c r="AB34" s="480"/>
      <c r="AC34" s="480"/>
      <c r="AD34" s="480"/>
    </row>
    <row r="35" spans="1:30" ht="45" customHeight="1">
      <c r="A35" s="479"/>
      <c r="B35" s="518">
        <v>18</v>
      </c>
      <c r="C35" s="477" t="s">
        <v>2080</v>
      </c>
      <c r="D35" s="552"/>
      <c r="E35" s="477"/>
      <c r="F35" s="477"/>
      <c r="G35" s="513"/>
      <c r="H35" s="543"/>
      <c r="I35" s="585" t="str">
        <f t="shared" si="1"/>
        <v>2.5.2</v>
      </c>
      <c r="J35" s="58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5">
        <f t="shared" si="3"/>
        <v>0</v>
      </c>
      <c r="L35" s="478" t="str">
        <f t="shared" si="4"/>
        <v>2.5.2</v>
      </c>
      <c r="M35" s="47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78" t="str">
        <f t="shared" si="6"/>
        <v/>
      </c>
      <c r="O35" s="542" t="s">
        <v>2081</v>
      </c>
      <c r="P35" s="542" t="s">
        <v>2061</v>
      </c>
      <c r="Q35" s="542" t="s">
        <v>2081</v>
      </c>
      <c r="R35" s="542" t="s">
        <v>2061</v>
      </c>
      <c r="S35" s="542"/>
      <c r="T35" s="54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0" t="s">
        <v>2082</v>
      </c>
      <c r="V35" s="480" t="s">
        <v>2082</v>
      </c>
      <c r="W35" s="480" t="s">
        <v>2082</v>
      </c>
      <c r="X35" s="477"/>
      <c r="Y35" s="582"/>
      <c r="Z35" s="480"/>
      <c r="AA35" s="483"/>
      <c r="AB35" s="480"/>
      <c r="AC35" s="480"/>
      <c r="AD35" s="480"/>
    </row>
    <row r="36" spans="1:30" ht="18" customHeight="1">
      <c r="A36" s="479"/>
      <c r="B36" s="518">
        <v>19</v>
      </c>
      <c r="C36" s="477">
        <v>11</v>
      </c>
      <c r="D36" s="552"/>
      <c r="E36" s="477"/>
      <c r="F36" s="477"/>
      <c r="G36" s="513"/>
      <c r="H36" s="543"/>
      <c r="I36" s="585" t="str">
        <f t="shared" si="1"/>
        <v>2.6</v>
      </c>
      <c r="J36" s="585" t="str">
        <f t="shared" si="2"/>
        <v>Расходы на амортизацию основных средств и нематериальных активов</v>
      </c>
      <c r="K36" s="585">
        <f t="shared" si="3"/>
        <v>0</v>
      </c>
      <c r="L36" s="478" t="str">
        <f t="shared" si="4"/>
        <v>2.6</v>
      </c>
      <c r="M36" s="478" t="str">
        <f t="shared" si="5"/>
        <v>Расходы на амортизацию основных средств и нематериальных активов</v>
      </c>
      <c r="N36" s="478" t="str">
        <f t="shared" si="6"/>
        <v/>
      </c>
      <c r="O36" s="542" t="s">
        <v>740</v>
      </c>
      <c r="P36" s="542" t="s">
        <v>736</v>
      </c>
      <c r="Q36" s="542" t="s">
        <v>740</v>
      </c>
      <c r="R36" s="542" t="s">
        <v>736</v>
      </c>
      <c r="S36" s="542"/>
      <c r="T36" s="549" t="s">
        <v>2083</v>
      </c>
      <c r="U36" s="480" t="s">
        <v>2083</v>
      </c>
      <c r="V36" s="480" t="s">
        <v>2083</v>
      </c>
      <c r="W36" s="480" t="s">
        <v>2083</v>
      </c>
      <c r="X36" s="477"/>
      <c r="Y36" s="582"/>
      <c r="Z36" s="480"/>
      <c r="AA36" s="483"/>
      <c r="AB36" s="480"/>
      <c r="AC36" s="480"/>
      <c r="AD36" s="480"/>
    </row>
    <row r="37" spans="1:30" ht="18" customHeight="1">
      <c r="A37" s="479"/>
      <c r="B37" s="518">
        <v>20</v>
      </c>
      <c r="C37" s="477" t="s">
        <v>2084</v>
      </c>
      <c r="D37" s="552"/>
      <c r="E37" s="477"/>
      <c r="F37" s="477"/>
      <c r="G37" s="513"/>
      <c r="H37" s="543"/>
      <c r="I37" s="585" t="str">
        <f t="shared" si="1"/>
        <v>2.6.1</v>
      </c>
      <c r="J37" s="585" t="str">
        <f t="shared" si="2"/>
        <v>Расходы на амортизацию основных средств</v>
      </c>
      <c r="K37" s="585">
        <f t="shared" si="3"/>
        <v>0</v>
      </c>
      <c r="L37" s="478" t="str">
        <f t="shared" si="4"/>
        <v>2.6.1</v>
      </c>
      <c r="M37" s="478" t="str">
        <f t="shared" si="5"/>
        <v>Расходы на амортизацию основных средств</v>
      </c>
      <c r="N37" s="478" t="str">
        <f t="shared" si="6"/>
        <v/>
      </c>
      <c r="O37" s="542" t="s">
        <v>2085</v>
      </c>
      <c r="P37" s="542" t="s">
        <v>2068</v>
      </c>
      <c r="Q37" s="542" t="s">
        <v>2085</v>
      </c>
      <c r="R37" s="542" t="s">
        <v>2068</v>
      </c>
      <c r="S37" s="542"/>
      <c r="T37" s="549" t="s">
        <v>2086</v>
      </c>
      <c r="U37" s="480" t="s">
        <v>2086</v>
      </c>
      <c r="V37" s="480" t="s">
        <v>2086</v>
      </c>
      <c r="W37" s="480" t="s">
        <v>2086</v>
      </c>
      <c r="X37" s="477"/>
      <c r="Y37" s="582"/>
      <c r="Z37" s="480"/>
      <c r="AA37" s="483"/>
      <c r="AB37" s="480"/>
      <c r="AC37" s="480"/>
      <c r="AD37" s="480"/>
    </row>
    <row r="38" spans="1:30" ht="18" customHeight="1">
      <c r="A38" s="479"/>
      <c r="B38" s="518">
        <v>21</v>
      </c>
      <c r="C38" s="477" t="s">
        <v>2087</v>
      </c>
      <c r="D38" s="552"/>
      <c r="E38" s="477"/>
      <c r="F38" s="477"/>
      <c r="G38" s="513"/>
      <c r="H38" s="543"/>
      <c r="I38" s="585" t="str">
        <f t="shared" si="1"/>
        <v>2.6.2</v>
      </c>
      <c r="J38" s="585" t="str">
        <f t="shared" si="2"/>
        <v>Расходы на амортизацию нематериальных активов</v>
      </c>
      <c r="K38" s="585">
        <f t="shared" si="3"/>
        <v>0</v>
      </c>
      <c r="L38" s="478" t="str">
        <f t="shared" si="4"/>
        <v>2.6.2</v>
      </c>
      <c r="M38" s="478" t="str">
        <f t="shared" si="5"/>
        <v>Расходы на амортизацию нематериальных активов</v>
      </c>
      <c r="N38" s="478" t="str">
        <f t="shared" si="6"/>
        <v/>
      </c>
      <c r="O38" s="542" t="s">
        <v>2088</v>
      </c>
      <c r="P38" s="542" t="s">
        <v>2071</v>
      </c>
      <c r="Q38" s="542" t="s">
        <v>2088</v>
      </c>
      <c r="R38" s="542" t="s">
        <v>2071</v>
      </c>
      <c r="S38" s="542"/>
      <c r="T38" s="549" t="s">
        <v>2089</v>
      </c>
      <c r="U38" s="480" t="s">
        <v>2089</v>
      </c>
      <c r="V38" s="480" t="s">
        <v>2089</v>
      </c>
      <c r="W38" s="480" t="s">
        <v>2089</v>
      </c>
      <c r="X38" s="477"/>
      <c r="Y38" s="582"/>
      <c r="Z38" s="480"/>
      <c r="AA38" s="483"/>
      <c r="AB38" s="480"/>
      <c r="AC38" s="480"/>
      <c r="AD38" s="480"/>
    </row>
    <row r="39" spans="1:30" ht="36" customHeight="1">
      <c r="A39" s="479"/>
      <c r="B39" s="518">
        <v>22</v>
      </c>
      <c r="C39" s="477">
        <v>12</v>
      </c>
      <c r="D39" s="552"/>
      <c r="E39" s="477"/>
      <c r="F39" s="477"/>
      <c r="G39" s="513"/>
      <c r="H39" s="543"/>
      <c r="I39" s="585" t="str">
        <f t="shared" si="1"/>
        <v>2.7</v>
      </c>
      <c r="J39" s="585" t="str">
        <f t="shared" si="2"/>
        <v>Расходы на аренду имущества, используемого для осуществления регулируемых видов деятельности в сфере холодного водоснабжения</v>
      </c>
      <c r="K39" s="585">
        <f t="shared" si="3"/>
        <v>0</v>
      </c>
      <c r="L39" s="478" t="str">
        <f t="shared" si="4"/>
        <v>2.7</v>
      </c>
      <c r="M39" s="478" t="str">
        <f t="shared" si="5"/>
        <v>Расходы на аренду имущества, используемого для осуществления регулируемых видов деятельности в сфере холодного водоснабжения</v>
      </c>
      <c r="N39" s="478" t="str">
        <f t="shared" si="6"/>
        <v/>
      </c>
      <c r="O39" s="542" t="s">
        <v>744</v>
      </c>
      <c r="P39" s="542" t="s">
        <v>738</v>
      </c>
      <c r="Q39" s="542" t="s">
        <v>744</v>
      </c>
      <c r="R39" s="542" t="s">
        <v>738</v>
      </c>
      <c r="S39" s="542"/>
      <c r="T39" s="549" t="s">
        <v>2090</v>
      </c>
      <c r="U39" s="480" t="s">
        <v>2091</v>
      </c>
      <c r="V39" s="480" t="s">
        <v>2092</v>
      </c>
      <c r="W39" s="480" t="s">
        <v>2093</v>
      </c>
      <c r="X39" s="477"/>
      <c r="Y39" s="582"/>
      <c r="Z39" s="480"/>
      <c r="AA39" s="483"/>
      <c r="AB39" s="480"/>
      <c r="AC39" s="480"/>
      <c r="AD39" s="480"/>
    </row>
    <row r="40" spans="1:30" ht="18" customHeight="1">
      <c r="A40" s="479"/>
      <c r="B40" s="518">
        <v>23</v>
      </c>
      <c r="C40" s="477">
        <v>13</v>
      </c>
      <c r="D40" s="552"/>
      <c r="E40" s="477"/>
      <c r="F40" s="477"/>
      <c r="G40" s="477"/>
      <c r="H40" s="516"/>
      <c r="I40" s="585" t="str">
        <f t="shared" si="1"/>
        <v>2.8</v>
      </c>
      <c r="J40" s="585" t="str">
        <f t="shared" si="2"/>
        <v>Общепроизводственные расходы, в том числе:</v>
      </c>
      <c r="K40" s="585" t="str">
        <f t="shared" si="3"/>
        <v>Указывается общая сумма общепроизводственных расходов.</v>
      </c>
      <c r="L40" s="478" t="str">
        <f t="shared" si="4"/>
        <v>2.8</v>
      </c>
      <c r="M40" s="478" t="str">
        <f t="shared" si="5"/>
        <v>Общепроизводственные расходы, в том числе:</v>
      </c>
      <c r="N40" s="478" t="str">
        <f t="shared" si="6"/>
        <v>Указывается общая сумма общепроизводственных расходов.</v>
      </c>
      <c r="O40" s="542" t="s">
        <v>2094</v>
      </c>
      <c r="P40" s="542" t="s">
        <v>740</v>
      </c>
      <c r="Q40" s="542" t="s">
        <v>2094</v>
      </c>
      <c r="R40" s="542" t="s">
        <v>740</v>
      </c>
      <c r="S40" s="542"/>
      <c r="T40" s="477" t="s">
        <v>2095</v>
      </c>
      <c r="U40" s="477" t="s">
        <v>2095</v>
      </c>
      <c r="V40" s="477" t="s">
        <v>2095</v>
      </c>
      <c r="W40" s="477" t="s">
        <v>2095</v>
      </c>
      <c r="X40" s="477"/>
      <c r="Y40" s="582"/>
      <c r="Z40" s="480" t="s">
        <v>2096</v>
      </c>
      <c r="AA40" s="483" t="s">
        <v>2096</v>
      </c>
      <c r="AB40" s="483" t="s">
        <v>2096</v>
      </c>
      <c r="AC40" s="483" t="s">
        <v>2096</v>
      </c>
      <c r="AD40" s="480"/>
    </row>
    <row r="41" spans="1:30" ht="27" customHeight="1">
      <c r="A41" s="479"/>
      <c r="B41" s="518">
        <v>24</v>
      </c>
      <c r="C41" s="477" t="s">
        <v>2097</v>
      </c>
      <c r="D41" s="552"/>
      <c r="E41" s="477"/>
      <c r="F41" s="477"/>
      <c r="G41" s="477"/>
      <c r="H41" s="513"/>
      <c r="I41" s="585" t="str">
        <f t="shared" si="1"/>
        <v>2.8.1</v>
      </c>
      <c r="J41" s="585" t="str">
        <f t="shared" si="2"/>
        <v>Расходы на текущий ремонт</v>
      </c>
      <c r="K41" s="585" t="str">
        <f t="shared" si="3"/>
        <v>Указываются расходы на текущий ремонт, отнесенные к общепроизводственным расходам.</v>
      </c>
      <c r="L41" s="478" t="str">
        <f t="shared" si="4"/>
        <v>2.8.1</v>
      </c>
      <c r="M41" s="478" t="str">
        <f t="shared" si="5"/>
        <v>Расходы на текущий ремонт</v>
      </c>
      <c r="N41" s="478" t="str">
        <f t="shared" si="6"/>
        <v>Указываются расходы на текущий ремонт, отнесенные к общепроизводственным расходам.</v>
      </c>
      <c r="O41" s="542" t="s">
        <v>2098</v>
      </c>
      <c r="P41" s="542" t="s">
        <v>2085</v>
      </c>
      <c r="Q41" s="542" t="s">
        <v>2098</v>
      </c>
      <c r="R41" s="542" t="s">
        <v>2085</v>
      </c>
      <c r="S41" s="542"/>
      <c r="T41" s="477" t="s">
        <v>2099</v>
      </c>
      <c r="U41" s="477" t="s">
        <v>2099</v>
      </c>
      <c r="V41" s="477" t="s">
        <v>2099</v>
      </c>
      <c r="W41" s="477" t="s">
        <v>2099</v>
      </c>
      <c r="X41" s="477"/>
      <c r="Y41" s="582"/>
      <c r="Z41" s="480" t="s">
        <v>2100</v>
      </c>
      <c r="AA41" s="480" t="s">
        <v>2100</v>
      </c>
      <c r="AB41" s="480" t="s">
        <v>2100</v>
      </c>
      <c r="AC41" s="480" t="s">
        <v>2100</v>
      </c>
      <c r="AD41" s="480"/>
    </row>
    <row r="42" spans="1:30" ht="27" customHeight="1">
      <c r="A42" s="479"/>
      <c r="B42" s="518">
        <v>25</v>
      </c>
      <c r="C42" s="477" t="s">
        <v>2101</v>
      </c>
      <c r="D42" s="552"/>
      <c r="E42" s="477"/>
      <c r="F42" s="477"/>
      <c r="G42" s="477"/>
      <c r="H42" s="513"/>
      <c r="I42" s="585" t="str">
        <f t="shared" si="1"/>
        <v>2.8.2</v>
      </c>
      <c r="J42" s="585" t="str">
        <f t="shared" si="2"/>
        <v>Расходы на капитальный ремонт</v>
      </c>
      <c r="K42" s="585" t="str">
        <f t="shared" si="3"/>
        <v>Указываются расходы на капитальный ремонт, отнесенные к общепроизводственным расходам.</v>
      </c>
      <c r="L42" s="478" t="str">
        <f t="shared" si="4"/>
        <v>2.8.2</v>
      </c>
      <c r="M42" s="478" t="str">
        <f t="shared" si="5"/>
        <v>Расходы на капитальный ремонт</v>
      </c>
      <c r="N42" s="478" t="str">
        <f t="shared" si="6"/>
        <v>Указываются расходы на капитальный ремонт, отнесенные к общепроизводственным расходам.</v>
      </c>
      <c r="O42" s="542" t="s">
        <v>2102</v>
      </c>
      <c r="P42" s="542" t="s">
        <v>2088</v>
      </c>
      <c r="Q42" s="542" t="s">
        <v>2102</v>
      </c>
      <c r="R42" s="542" t="s">
        <v>2088</v>
      </c>
      <c r="S42" s="542"/>
      <c r="T42" s="477" t="s">
        <v>2103</v>
      </c>
      <c r="U42" s="477" t="s">
        <v>2103</v>
      </c>
      <c r="V42" s="477" t="s">
        <v>2103</v>
      </c>
      <c r="W42" s="477" t="s">
        <v>2103</v>
      </c>
      <c r="X42" s="477"/>
      <c r="Y42" s="582"/>
      <c r="Z42" s="480" t="s">
        <v>2104</v>
      </c>
      <c r="AA42" s="480" t="s">
        <v>2104</v>
      </c>
      <c r="AB42" s="480" t="s">
        <v>2104</v>
      </c>
      <c r="AC42" s="480" t="s">
        <v>2104</v>
      </c>
      <c r="AD42" s="480"/>
    </row>
    <row r="43" spans="1:30" ht="18" customHeight="1">
      <c r="A43" s="479"/>
      <c r="B43" s="518">
        <v>26</v>
      </c>
      <c r="C43" s="477">
        <v>14</v>
      </c>
      <c r="D43" s="552"/>
      <c r="E43" s="477"/>
      <c r="F43" s="477"/>
      <c r="G43" s="477"/>
      <c r="H43" s="513"/>
      <c r="I43" s="585" t="str">
        <f t="shared" si="1"/>
        <v>2.9</v>
      </c>
      <c r="J43" s="585" t="str">
        <f t="shared" si="2"/>
        <v>Общехозяйственные расходы, в том числе:</v>
      </c>
      <c r="K43" s="585" t="str">
        <f t="shared" si="3"/>
        <v>Указывается общая сумма общехозяйственных расходов.</v>
      </c>
      <c r="L43" s="478" t="str">
        <f t="shared" si="4"/>
        <v>2.9</v>
      </c>
      <c r="M43" s="478" t="str">
        <f t="shared" si="5"/>
        <v>Общехозяйственные расходы, в том числе:</v>
      </c>
      <c r="N43" s="478" t="str">
        <f t="shared" si="6"/>
        <v>Указывается общая сумма общехозяйственных расходов.</v>
      </c>
      <c r="O43" s="542" t="s">
        <v>2105</v>
      </c>
      <c r="P43" s="542" t="s">
        <v>744</v>
      </c>
      <c r="Q43" s="542" t="s">
        <v>2105</v>
      </c>
      <c r="R43" s="542" t="s">
        <v>744</v>
      </c>
      <c r="S43" s="542"/>
      <c r="T43" s="477" t="s">
        <v>2106</v>
      </c>
      <c r="U43" s="477" t="s">
        <v>2106</v>
      </c>
      <c r="V43" s="477" t="s">
        <v>2106</v>
      </c>
      <c r="W43" s="477" t="s">
        <v>2106</v>
      </c>
      <c r="X43" s="477"/>
      <c r="Y43" s="582"/>
      <c r="Z43" s="480" t="s">
        <v>2107</v>
      </c>
      <c r="AA43" s="480" t="s">
        <v>2107</v>
      </c>
      <c r="AB43" s="480" t="s">
        <v>2107</v>
      </c>
      <c r="AC43" s="480" t="s">
        <v>2107</v>
      </c>
      <c r="AD43" s="480"/>
    </row>
    <row r="44" spans="1:30" ht="27" customHeight="1">
      <c r="A44" s="479"/>
      <c r="B44" s="518">
        <v>27</v>
      </c>
      <c r="C44" s="477" t="s">
        <v>2108</v>
      </c>
      <c r="D44" s="552"/>
      <c r="E44" s="477"/>
      <c r="F44" s="477"/>
      <c r="G44" s="477"/>
      <c r="H44" s="513"/>
      <c r="I44" s="585" t="str">
        <f t="shared" si="1"/>
        <v>2.9.1</v>
      </c>
      <c r="J44" s="585" t="str">
        <f t="shared" si="2"/>
        <v>Расходы на текущий ремонт</v>
      </c>
      <c r="K44" s="585" t="str">
        <f t="shared" si="3"/>
        <v>Указываются расходы на текущий ремонт, отнесенные к общехозяйственным расходам.</v>
      </c>
      <c r="L44" s="478" t="str">
        <f t="shared" si="4"/>
        <v>2.9.1</v>
      </c>
      <c r="M44" s="478" t="str">
        <f t="shared" si="5"/>
        <v>Расходы на текущий ремонт</v>
      </c>
      <c r="N44" s="478" t="str">
        <f t="shared" si="6"/>
        <v>Указываются расходы на текущий ремонт, отнесенные к общехозяйственным расходам.</v>
      </c>
      <c r="O44" s="542" t="s">
        <v>2109</v>
      </c>
      <c r="P44" s="542" t="s">
        <v>2110</v>
      </c>
      <c r="Q44" s="542" t="s">
        <v>2109</v>
      </c>
      <c r="R44" s="542" t="s">
        <v>2110</v>
      </c>
      <c r="S44" s="542"/>
      <c r="T44" s="477" t="s">
        <v>2099</v>
      </c>
      <c r="U44" s="477" t="s">
        <v>2099</v>
      </c>
      <c r="V44" s="477" t="s">
        <v>2099</v>
      </c>
      <c r="W44" s="477" t="s">
        <v>2099</v>
      </c>
      <c r="X44" s="477"/>
      <c r="Y44" s="582"/>
      <c r="Z44" s="480" t="s">
        <v>2111</v>
      </c>
      <c r="AA44" s="480" t="s">
        <v>2111</v>
      </c>
      <c r="AB44" s="480" t="s">
        <v>2111</v>
      </c>
      <c r="AC44" s="480" t="s">
        <v>2111</v>
      </c>
      <c r="AD44" s="480"/>
    </row>
    <row r="45" spans="1:30" ht="27" customHeight="1">
      <c r="A45" s="479"/>
      <c r="B45" s="518">
        <v>28</v>
      </c>
      <c r="C45" s="477" t="s">
        <v>2112</v>
      </c>
      <c r="D45" s="552"/>
      <c r="E45" s="477"/>
      <c r="F45" s="477"/>
      <c r="G45" s="477"/>
      <c r="H45" s="513"/>
      <c r="I45" s="585" t="str">
        <f t="shared" si="1"/>
        <v>2.9.2</v>
      </c>
      <c r="J45" s="585" t="str">
        <f t="shared" si="2"/>
        <v>Расходы на капитальный ремонт</v>
      </c>
      <c r="K45" s="585" t="str">
        <f t="shared" si="3"/>
        <v>Указываются расходы на капитальный ремонт, отнесенные к общехозяйственным расходам.</v>
      </c>
      <c r="L45" s="478" t="str">
        <f t="shared" si="4"/>
        <v>2.9.2</v>
      </c>
      <c r="M45" s="478" t="str">
        <f t="shared" si="5"/>
        <v>Расходы на капитальный ремонт</v>
      </c>
      <c r="N45" s="478" t="str">
        <f t="shared" si="6"/>
        <v>Указываются расходы на капитальный ремонт, отнесенные к общехозяйственным расходам.</v>
      </c>
      <c r="O45" s="542" t="s">
        <v>2113</v>
      </c>
      <c r="P45" s="542" t="s">
        <v>2114</v>
      </c>
      <c r="Q45" s="542" t="s">
        <v>2113</v>
      </c>
      <c r="R45" s="542" t="s">
        <v>2114</v>
      </c>
      <c r="S45" s="542"/>
      <c r="T45" s="477" t="s">
        <v>2103</v>
      </c>
      <c r="U45" s="477" t="s">
        <v>2103</v>
      </c>
      <c r="V45" s="477" t="s">
        <v>2103</v>
      </c>
      <c r="W45" s="477" t="s">
        <v>2103</v>
      </c>
      <c r="X45" s="477"/>
      <c r="Y45" s="582"/>
      <c r="Z45" s="480" t="s">
        <v>2115</v>
      </c>
      <c r="AA45" s="480" t="s">
        <v>2115</v>
      </c>
      <c r="AB45" s="480" t="s">
        <v>2115</v>
      </c>
      <c r="AC45" s="480" t="s">
        <v>2115</v>
      </c>
      <c r="AD45" s="480"/>
    </row>
    <row r="46" spans="1:30" ht="54" customHeight="1">
      <c r="A46" s="479"/>
      <c r="B46" s="518">
        <v>29</v>
      </c>
      <c r="C46" s="477">
        <v>15</v>
      </c>
      <c r="D46" s="552"/>
      <c r="E46" s="477"/>
      <c r="F46" s="477"/>
      <c r="G46" s="477"/>
      <c r="H46" s="513"/>
      <c r="I46" s="585" t="str">
        <f t="shared" si="1"/>
        <v>2.10</v>
      </c>
      <c r="J46" s="585" t="str">
        <f t="shared" si="2"/>
        <v>Расходы на капитальный и текущий ремонт основных средств</v>
      </c>
      <c r="K46" s="58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78" t="str">
        <f t="shared" si="4"/>
        <v>2.10</v>
      </c>
      <c r="M46" s="478" t="str">
        <f t="shared" si="5"/>
        <v>Расходы на капитальный и текущий ремонт основных средств</v>
      </c>
      <c r="N46" s="47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2" t="s">
        <v>2116</v>
      </c>
      <c r="P46" s="542" t="s">
        <v>2094</v>
      </c>
      <c r="Q46" s="542" t="s">
        <v>2116</v>
      </c>
      <c r="R46" s="542" t="s">
        <v>2094</v>
      </c>
      <c r="S46" s="542"/>
      <c r="T46" s="47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77" t="s">
        <v>2117</v>
      </c>
      <c r="V46" s="477" t="s">
        <v>2117</v>
      </c>
      <c r="W46" s="477" t="s">
        <v>2117</v>
      </c>
      <c r="X46" s="477"/>
      <c r="Y46" s="582"/>
      <c r="Z46" s="480" t="s">
        <v>2118</v>
      </c>
      <c r="AA46" s="480" t="s">
        <v>2119</v>
      </c>
      <c r="AB46" s="480" t="s">
        <v>2119</v>
      </c>
      <c r="AC46" s="480" t="s">
        <v>2119</v>
      </c>
      <c r="AD46" s="480"/>
    </row>
    <row r="47" spans="1:30" ht="54" customHeight="1">
      <c r="A47" s="479"/>
      <c r="B47" s="518">
        <v>30</v>
      </c>
      <c r="C47" s="477" t="s">
        <v>2120</v>
      </c>
      <c r="D47" s="552"/>
      <c r="E47" s="477"/>
      <c r="F47" s="477"/>
      <c r="G47" s="477"/>
      <c r="H47" s="513"/>
      <c r="I47" s="585" t="str">
        <f t="shared" si="1"/>
        <v>2.10.1</v>
      </c>
      <c r="J47" s="58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5">
        <f t="shared" si="3"/>
        <v>0</v>
      </c>
      <c r="L47" s="478" t="str">
        <f t="shared" si="4"/>
        <v>2.10.1</v>
      </c>
      <c r="M47" s="47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78" t="str">
        <f t="shared" si="6"/>
        <v/>
      </c>
      <c r="O47" s="542" t="s">
        <v>2121</v>
      </c>
      <c r="P47" s="542" t="s">
        <v>2098</v>
      </c>
      <c r="Q47" s="542" t="s">
        <v>2121</v>
      </c>
      <c r="R47" s="542" t="s">
        <v>2098</v>
      </c>
      <c r="S47" s="542"/>
      <c r="T47" s="477" t="s">
        <v>2122</v>
      </c>
      <c r="U47" s="477" t="s">
        <v>2122</v>
      </c>
      <c r="V47" s="477" t="s">
        <v>2122</v>
      </c>
      <c r="W47" s="477" t="s">
        <v>2122</v>
      </c>
      <c r="X47" s="477"/>
      <c r="Y47" s="582"/>
      <c r="Z47" s="480"/>
      <c r="AA47" s="483"/>
      <c r="AB47" s="483"/>
      <c r="AC47" s="483"/>
      <c r="AD47" s="480"/>
    </row>
    <row r="48" spans="1:30" ht="54" customHeight="1">
      <c r="A48" s="479"/>
      <c r="B48" s="518">
        <v>31</v>
      </c>
      <c r="C48" s="477">
        <v>16</v>
      </c>
      <c r="D48" s="552"/>
      <c r="E48" s="477"/>
      <c r="F48" s="477"/>
      <c r="G48" s="477"/>
      <c r="H48" s="513"/>
      <c r="I48" s="585" t="str">
        <f t="shared" si="1"/>
        <v>2.11</v>
      </c>
      <c r="J48" s="58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58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78" t="str">
        <f t="shared" si="4"/>
        <v>2.11</v>
      </c>
      <c r="M48" s="478"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47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2"/>
      <c r="P48" s="542" t="s">
        <v>2105</v>
      </c>
      <c r="Q48" s="542" t="s">
        <v>2123</v>
      </c>
      <c r="R48" s="542" t="s">
        <v>2105</v>
      </c>
      <c r="S48" s="542"/>
      <c r="T48" s="477"/>
      <c r="U48" s="477" t="s">
        <v>2124</v>
      </c>
      <c r="V48" s="477" t="s">
        <v>2125</v>
      </c>
      <c r="W48" s="477" t="s">
        <v>2125</v>
      </c>
      <c r="X48" s="477"/>
      <c r="Y48" s="582"/>
      <c r="Z48" s="480"/>
      <c r="AA48" s="483" t="s">
        <v>2119</v>
      </c>
      <c r="AB48" s="483" t="s">
        <v>2119</v>
      </c>
      <c r="AC48" s="483" t="s">
        <v>2119</v>
      </c>
      <c r="AD48" s="480"/>
    </row>
    <row r="49" spans="1:30" ht="54" customHeight="1">
      <c r="A49" s="479"/>
      <c r="B49" s="518">
        <v>32</v>
      </c>
      <c r="C49" s="477" t="s">
        <v>2126</v>
      </c>
      <c r="D49" s="552"/>
      <c r="E49" s="477"/>
      <c r="F49" s="477"/>
      <c r="G49" s="477"/>
      <c r="H49" s="513"/>
      <c r="I49" s="585" t="str">
        <f t="shared" si="1"/>
        <v>2.11.1</v>
      </c>
      <c r="J49" s="58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5">
        <f t="shared" si="3"/>
        <v>0</v>
      </c>
      <c r="L49" s="478" t="str">
        <f t="shared" si="4"/>
        <v>2.11.1</v>
      </c>
      <c r="M49" s="47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78" t="str">
        <f t="shared" si="6"/>
        <v/>
      </c>
      <c r="O49" s="542"/>
      <c r="P49" s="542" t="s">
        <v>2109</v>
      </c>
      <c r="Q49" s="542" t="s">
        <v>2127</v>
      </c>
      <c r="R49" s="542" t="s">
        <v>2109</v>
      </c>
      <c r="S49" s="542"/>
      <c r="T49" s="477"/>
      <c r="U49" s="477" t="s">
        <v>2122</v>
      </c>
      <c r="V49" s="477" t="s">
        <v>2122</v>
      </c>
      <c r="W49" s="477" t="s">
        <v>2122</v>
      </c>
      <c r="X49" s="477"/>
      <c r="Y49" s="582"/>
      <c r="Z49" s="480"/>
      <c r="AA49" s="483"/>
      <c r="AB49" s="483"/>
      <c r="AC49" s="483"/>
      <c r="AD49" s="480"/>
    </row>
    <row r="50" spans="1:30" ht="126" customHeight="1">
      <c r="A50" s="479"/>
      <c r="B50" s="518">
        <v>33</v>
      </c>
      <c r="C50" s="477">
        <v>17</v>
      </c>
      <c r="D50" s="552"/>
      <c r="E50" s="477"/>
      <c r="F50" s="477"/>
      <c r="G50" s="477"/>
      <c r="H50" s="513"/>
      <c r="I50" s="585" t="str">
        <f t="shared" ref="I50:I81" si="7">INDEX(TEMPLATE_NUMBER_POINT_FHD,B50,MATCH(TEMPLATE_SPHERE,TEMPLATE_SPHERE_LIST_FOR_NOTE,0))</f>
        <v>2.12</v>
      </c>
      <c r="J50" s="58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58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78" t="str">
        <f t="shared" ref="L50:L81" si="10">IF(I50=0,"",I50)</f>
        <v>2.12</v>
      </c>
      <c r="M50" s="478"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478"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2" t="s">
        <v>2123</v>
      </c>
      <c r="P50" s="542" t="s">
        <v>2116</v>
      </c>
      <c r="Q50" s="542" t="s">
        <v>2128</v>
      </c>
      <c r="R50" s="542" t="s">
        <v>2116</v>
      </c>
      <c r="S50" s="542"/>
      <c r="T50" s="477" t="s">
        <v>2129</v>
      </c>
      <c r="U50" s="477" t="s">
        <v>2130</v>
      </c>
      <c r="V50" s="477" t="s">
        <v>2131</v>
      </c>
      <c r="W50" s="477" t="s">
        <v>2132</v>
      </c>
      <c r="X50" s="477"/>
      <c r="Y50" s="582"/>
      <c r="Z50" s="480" t="s">
        <v>2133</v>
      </c>
      <c r="AA50" s="483" t="s">
        <v>2134</v>
      </c>
      <c r="AB50" s="483" t="s">
        <v>2134</v>
      </c>
      <c r="AC50" s="483" t="s">
        <v>2134</v>
      </c>
      <c r="AD50" s="480"/>
    </row>
    <row r="51" spans="1:30" ht="27" customHeight="1">
      <c r="A51" s="479"/>
      <c r="B51" s="518">
        <v>34</v>
      </c>
      <c r="C51" s="477" t="s">
        <v>2135</v>
      </c>
      <c r="D51" s="552"/>
      <c r="E51" s="477"/>
      <c r="F51" s="477"/>
      <c r="G51" s="477"/>
      <c r="H51" s="513"/>
      <c r="I51" s="585">
        <f t="shared" si="7"/>
        <v>0</v>
      </c>
      <c r="J51" s="585">
        <f t="shared" si="8"/>
        <v>0</v>
      </c>
      <c r="K51" s="585">
        <f t="shared" si="9"/>
        <v>0</v>
      </c>
      <c r="L51" s="478" t="str">
        <f t="shared" si="10"/>
        <v/>
      </c>
      <c r="M51" s="478" t="str">
        <f t="shared" si="11"/>
        <v/>
      </c>
      <c r="N51" s="478" t="str">
        <f t="shared" si="12"/>
        <v/>
      </c>
      <c r="O51" s="542" t="s">
        <v>88</v>
      </c>
      <c r="P51" s="542"/>
      <c r="Q51" s="542"/>
      <c r="R51" s="542"/>
      <c r="S51" s="542"/>
      <c r="T51" s="477" t="s">
        <v>2136</v>
      </c>
      <c r="U51" s="477"/>
      <c r="V51" s="477"/>
      <c r="W51" s="477"/>
      <c r="X51" s="477"/>
      <c r="Y51" s="582"/>
      <c r="Z51" s="480"/>
      <c r="AA51" s="483"/>
      <c r="AB51" s="483"/>
      <c r="AC51" s="483"/>
      <c r="AD51" s="480"/>
    </row>
    <row r="52" spans="1:30" ht="36" customHeight="1">
      <c r="A52" s="479"/>
      <c r="B52" s="518">
        <v>35</v>
      </c>
      <c r="C52" s="477" t="s">
        <v>2029</v>
      </c>
      <c r="D52" s="552" t="s">
        <v>2029</v>
      </c>
      <c r="E52" s="477" t="s">
        <v>2029</v>
      </c>
      <c r="F52" s="477" t="s">
        <v>2029</v>
      </c>
      <c r="G52" s="477"/>
      <c r="H52" s="513"/>
      <c r="I52" s="585" t="str">
        <f t="shared" si="7"/>
        <v>3</v>
      </c>
      <c r="J52" s="585" t="str">
        <f t="shared" si="8"/>
        <v>Чистая прибыль, полученная от регулируемого вида деятельности в сфере холодного водоснабжения, в том числе:</v>
      </c>
      <c r="K52" s="585" t="str">
        <f t="shared" si="9"/>
        <v>Указывается общая сумма чистой прибыли, полученной от регулируемого вида деятельности.</v>
      </c>
      <c r="L52" s="478" t="str">
        <f t="shared" si="10"/>
        <v>3</v>
      </c>
      <c r="M52" s="478" t="str">
        <f t="shared" si="11"/>
        <v>Чистая прибыль, полученная от регулируемого вида деятельности в сфере холодного водоснабжения, в том числе:</v>
      </c>
      <c r="N52" s="478" t="str">
        <f t="shared" si="12"/>
        <v>Указывается общая сумма чистой прибыли, полученной от регулируемого вида деятельности.</v>
      </c>
      <c r="O52" s="542" t="s">
        <v>89</v>
      </c>
      <c r="P52" s="542" t="s">
        <v>88</v>
      </c>
      <c r="Q52" s="542" t="s">
        <v>88</v>
      </c>
      <c r="R52" s="542" t="s">
        <v>88</v>
      </c>
      <c r="S52" s="542"/>
      <c r="T52" s="477" t="s">
        <v>2137</v>
      </c>
      <c r="U52" s="477" t="s">
        <v>2138</v>
      </c>
      <c r="V52" s="477" t="s">
        <v>2139</v>
      </c>
      <c r="W52" s="477" t="s">
        <v>2140</v>
      </c>
      <c r="X52" s="477"/>
      <c r="Y52" s="582"/>
      <c r="Z52" s="480" t="s">
        <v>748</v>
      </c>
      <c r="AA52" s="483" t="s">
        <v>748</v>
      </c>
      <c r="AB52" s="483" t="s">
        <v>748</v>
      </c>
      <c r="AC52" s="483" t="s">
        <v>748</v>
      </c>
      <c r="AD52" s="480"/>
    </row>
    <row r="53" spans="1:30" ht="36" customHeight="1">
      <c r="A53" s="479"/>
      <c r="B53" s="518">
        <v>36</v>
      </c>
      <c r="C53" s="477">
        <v>1</v>
      </c>
      <c r="D53" s="552"/>
      <c r="E53" s="477"/>
      <c r="F53" s="477"/>
      <c r="G53" s="477"/>
      <c r="H53" s="513"/>
      <c r="I53" s="585" t="str">
        <f t="shared" si="7"/>
        <v>3.1</v>
      </c>
      <c r="J53" s="58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5">
        <f t="shared" si="9"/>
        <v>0</v>
      </c>
      <c r="L53" s="478" t="str">
        <f t="shared" si="10"/>
        <v>3.1</v>
      </c>
      <c r="M53" s="47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78" t="str">
        <f t="shared" si="12"/>
        <v/>
      </c>
      <c r="O53" s="542" t="s">
        <v>752</v>
      </c>
      <c r="P53" s="542" t="s">
        <v>324</v>
      </c>
      <c r="Q53" s="542" t="s">
        <v>324</v>
      </c>
      <c r="R53" s="542" t="s">
        <v>324</v>
      </c>
      <c r="S53" s="542"/>
      <c r="T53" s="477" t="s">
        <v>2141</v>
      </c>
      <c r="U53" s="477" t="s">
        <v>2141</v>
      </c>
      <c r="V53" s="477" t="s">
        <v>2141</v>
      </c>
      <c r="W53" s="477" t="s">
        <v>2141</v>
      </c>
      <c r="X53" s="477"/>
      <c r="Y53" s="582"/>
      <c r="Z53" s="480"/>
      <c r="AA53" s="483"/>
      <c r="AB53" s="480"/>
      <c r="AC53" s="480"/>
      <c r="AD53" s="480"/>
    </row>
    <row r="54" spans="1:30" ht="18" customHeight="1">
      <c r="A54" s="479"/>
      <c r="B54" s="518">
        <v>37</v>
      </c>
      <c r="C54" s="477" t="s">
        <v>2035</v>
      </c>
      <c r="D54" s="552" t="s">
        <v>2035</v>
      </c>
      <c r="E54" s="477" t="s">
        <v>2035</v>
      </c>
      <c r="F54" s="477" t="s">
        <v>2035</v>
      </c>
      <c r="G54" s="477"/>
      <c r="H54" s="513"/>
      <c r="I54" s="585" t="str">
        <f t="shared" si="7"/>
        <v>4</v>
      </c>
      <c r="J54" s="585" t="str">
        <f t="shared" si="8"/>
        <v>Изменение стоимости основных фондов, в том числе:</v>
      </c>
      <c r="K54" s="585" t="str">
        <f t="shared" si="9"/>
        <v>Указывается общее изменение стоимости основных фондов.</v>
      </c>
      <c r="L54" s="478" t="str">
        <f t="shared" si="10"/>
        <v>4</v>
      </c>
      <c r="M54" s="478" t="str">
        <f t="shared" si="11"/>
        <v>Изменение стоимости основных фондов, в том числе:</v>
      </c>
      <c r="N54" s="478" t="str">
        <f t="shared" si="12"/>
        <v>Указывается общее изменение стоимости основных фондов.</v>
      </c>
      <c r="O54" s="542" t="s">
        <v>109</v>
      </c>
      <c r="P54" s="542" t="s">
        <v>89</v>
      </c>
      <c r="Q54" s="542" t="s">
        <v>89</v>
      </c>
      <c r="R54" s="542" t="s">
        <v>89</v>
      </c>
      <c r="S54" s="542"/>
      <c r="T54" s="477" t="s">
        <v>750</v>
      </c>
      <c r="U54" s="477" t="s">
        <v>750</v>
      </c>
      <c r="V54" s="477" t="s">
        <v>750</v>
      </c>
      <c r="W54" s="477" t="s">
        <v>750</v>
      </c>
      <c r="X54" s="477"/>
      <c r="Y54" s="582"/>
      <c r="Z54" s="480" t="s">
        <v>751</v>
      </c>
      <c r="AA54" s="480" t="s">
        <v>751</v>
      </c>
      <c r="AB54" s="480" t="s">
        <v>751</v>
      </c>
      <c r="AC54" s="480" t="s">
        <v>751</v>
      </c>
      <c r="AD54" s="480"/>
    </row>
    <row r="55" spans="1:30" ht="36" customHeight="1">
      <c r="A55" s="479"/>
      <c r="B55" s="518">
        <v>38</v>
      </c>
      <c r="C55" s="477">
        <v>1</v>
      </c>
      <c r="D55" s="552"/>
      <c r="E55" s="477"/>
      <c r="F55" s="477"/>
      <c r="G55" s="477"/>
      <c r="H55" s="513"/>
      <c r="I55" s="585" t="str">
        <f t="shared" si="7"/>
        <v>4.1</v>
      </c>
      <c r="J55" s="585" t="str">
        <f t="shared" si="8"/>
        <v>Изменение стоимости основных фондов за счет их ввода в эксплуатацию (вывода из эксплуатации)</v>
      </c>
      <c r="K55" s="585" t="str">
        <f t="shared" si="9"/>
        <v>Указываются общее изменение стоимости основных фондов за счет их ввода в эксплуатацию и вывода из эксплуатации.</v>
      </c>
      <c r="L55" s="478" t="str">
        <f t="shared" si="10"/>
        <v>4.1</v>
      </c>
      <c r="M55" s="478" t="str">
        <f t="shared" si="11"/>
        <v>Изменение стоимости основных фондов за счет их ввода в эксплуатацию (вывода из эксплуатации)</v>
      </c>
      <c r="N55" s="478" t="str">
        <f t="shared" si="12"/>
        <v>Указываются общее изменение стоимости основных фондов за счет их ввода в эксплуатацию и вывода из эксплуатации.</v>
      </c>
      <c r="O55" s="542" t="s">
        <v>313</v>
      </c>
      <c r="P55" s="542" t="s">
        <v>752</v>
      </c>
      <c r="Q55" s="542" t="s">
        <v>752</v>
      </c>
      <c r="R55" s="542" t="s">
        <v>752</v>
      </c>
      <c r="S55" s="542"/>
      <c r="T55" s="478"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77" t="s">
        <v>2142</v>
      </c>
      <c r="V55" s="477" t="s">
        <v>2142</v>
      </c>
      <c r="W55" s="477" t="s">
        <v>2142</v>
      </c>
      <c r="X55" s="477"/>
      <c r="Y55" s="582"/>
      <c r="Z55" s="480" t="s">
        <v>2143</v>
      </c>
      <c r="AA55" s="480" t="s">
        <v>2143</v>
      </c>
      <c r="AB55" s="480" t="s">
        <v>2143</v>
      </c>
      <c r="AC55" s="480" t="s">
        <v>2143</v>
      </c>
      <c r="AD55" s="480"/>
    </row>
    <row r="56" spans="1:30" ht="27" customHeight="1">
      <c r="A56" s="479"/>
      <c r="B56" s="518">
        <v>39</v>
      </c>
      <c r="C56" s="477" t="s">
        <v>1020</v>
      </c>
      <c r="D56" s="552"/>
      <c r="E56" s="477"/>
      <c r="F56" s="477"/>
      <c r="G56" s="477"/>
      <c r="H56" s="513"/>
      <c r="I56" s="585" t="str">
        <f t="shared" si="7"/>
        <v>4.1.1</v>
      </c>
      <c r="J56" s="585" t="str">
        <f t="shared" si="8"/>
        <v>Изменение стоимости основных фондов за счет их ввода в эксплуатацию</v>
      </c>
      <c r="K56" s="585" t="str">
        <f t="shared" si="9"/>
        <v>Указываются изменение стоимости основных фондов за счет их ввода в эксплуатацию.</v>
      </c>
      <c r="L56" s="478" t="str">
        <f t="shared" si="10"/>
        <v>4.1.1</v>
      </c>
      <c r="M56" s="478" t="str">
        <f t="shared" si="11"/>
        <v>Изменение стоимости основных фондов за счет их ввода в эксплуатацию</v>
      </c>
      <c r="N56" s="478" t="str">
        <f t="shared" si="12"/>
        <v>Указываются изменение стоимости основных фондов за счет их ввода в эксплуатацию.</v>
      </c>
      <c r="O56" s="542" t="s">
        <v>1137</v>
      </c>
      <c r="P56" s="542" t="s">
        <v>755</v>
      </c>
      <c r="Q56" s="542" t="s">
        <v>755</v>
      </c>
      <c r="R56" s="542" t="s">
        <v>755</v>
      </c>
      <c r="S56" s="542"/>
      <c r="T56" s="478"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77" t="s">
        <v>2144</v>
      </c>
      <c r="V56" s="477" t="s">
        <v>2144</v>
      </c>
      <c r="W56" s="477" t="s">
        <v>2144</v>
      </c>
      <c r="X56" s="477"/>
      <c r="Y56" s="582"/>
      <c r="Z56" s="480" t="s">
        <v>757</v>
      </c>
      <c r="AA56" s="480" t="s">
        <v>757</v>
      </c>
      <c r="AB56" s="480" t="s">
        <v>757</v>
      </c>
      <c r="AC56" s="480" t="s">
        <v>757</v>
      </c>
      <c r="AD56" s="480"/>
    </row>
    <row r="57" spans="1:30" ht="27" customHeight="1">
      <c r="A57" s="479"/>
      <c r="B57" s="518">
        <v>40</v>
      </c>
      <c r="C57" s="477" t="s">
        <v>1022</v>
      </c>
      <c r="D57" s="552"/>
      <c r="E57" s="477"/>
      <c r="F57" s="477"/>
      <c r="G57" s="477"/>
      <c r="H57" s="513"/>
      <c r="I57" s="585" t="str">
        <f t="shared" si="7"/>
        <v>4.1.2</v>
      </c>
      <c r="J57" s="585" t="str">
        <f t="shared" si="8"/>
        <v>Изменение стоимости основных фондов за счет их вывода в эксплуатацию</v>
      </c>
      <c r="K57" s="585" t="str">
        <f t="shared" si="9"/>
        <v>Указываются изменение стоимости основных фондов за счет их вывода из эксплуатации.</v>
      </c>
      <c r="L57" s="478" t="str">
        <f t="shared" si="10"/>
        <v>4.1.2</v>
      </c>
      <c r="M57" s="478" t="str">
        <f t="shared" si="11"/>
        <v>Изменение стоимости основных фондов за счет их вывода в эксплуатацию</v>
      </c>
      <c r="N57" s="478" t="str">
        <f t="shared" si="12"/>
        <v>Указываются изменение стоимости основных фондов за счет их вывода из эксплуатации.</v>
      </c>
      <c r="O57" s="542" t="s">
        <v>2145</v>
      </c>
      <c r="P57" s="542" t="s">
        <v>758</v>
      </c>
      <c r="Q57" s="542" t="s">
        <v>758</v>
      </c>
      <c r="R57" s="542" t="s">
        <v>758</v>
      </c>
      <c r="S57" s="542"/>
      <c r="T57" s="478"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77" t="s">
        <v>2146</v>
      </c>
      <c r="V57" s="477" t="s">
        <v>2146</v>
      </c>
      <c r="W57" s="477" t="s">
        <v>2146</v>
      </c>
      <c r="X57" s="477"/>
      <c r="Y57" s="582"/>
      <c r="Z57" s="480" t="s">
        <v>760</v>
      </c>
      <c r="AA57" s="480" t="s">
        <v>760</v>
      </c>
      <c r="AB57" s="480" t="s">
        <v>760</v>
      </c>
      <c r="AC57" s="480" t="s">
        <v>760</v>
      </c>
      <c r="AD57" s="480"/>
    </row>
    <row r="58" spans="1:30" ht="18" customHeight="1">
      <c r="A58" s="479"/>
      <c r="B58" s="518">
        <v>41</v>
      </c>
      <c r="C58" s="477">
        <v>2</v>
      </c>
      <c r="D58" s="552"/>
      <c r="E58" s="477"/>
      <c r="F58" s="477"/>
      <c r="G58" s="477"/>
      <c r="H58" s="513"/>
      <c r="I58" s="585" t="str">
        <f t="shared" si="7"/>
        <v>4.2</v>
      </c>
      <c r="J58" s="585" t="str">
        <f t="shared" si="8"/>
        <v>Изменение стоимости основных фондов за счет их переоценки</v>
      </c>
      <c r="K58" s="585">
        <f t="shared" si="9"/>
        <v>0</v>
      </c>
      <c r="L58" s="478" t="str">
        <f t="shared" si="10"/>
        <v>4.2</v>
      </c>
      <c r="M58" s="478" t="str">
        <f t="shared" si="11"/>
        <v>Изменение стоимости основных фондов за счет их переоценки</v>
      </c>
      <c r="N58" s="478" t="str">
        <f t="shared" si="12"/>
        <v/>
      </c>
      <c r="O58" s="542" t="s">
        <v>880</v>
      </c>
      <c r="P58" s="542" t="s">
        <v>794</v>
      </c>
      <c r="Q58" s="542" t="s">
        <v>794</v>
      </c>
      <c r="R58" s="542" t="s">
        <v>794</v>
      </c>
      <c r="S58" s="542"/>
      <c r="T58" s="478" t="str">
        <f>IF(TITLE_TYPE_ORG="Регулируемая организация","Изменение стоимости основных фондов за счет их переоценки","за счет их переоценки")</f>
        <v>за счет их переоценки</v>
      </c>
      <c r="U58" s="477" t="s">
        <v>2147</v>
      </c>
      <c r="V58" s="477" t="s">
        <v>2147</v>
      </c>
      <c r="W58" s="477" t="s">
        <v>2147</v>
      </c>
      <c r="X58" s="477"/>
      <c r="Y58" s="582"/>
      <c r="Z58" s="480"/>
      <c r="AA58" s="483"/>
      <c r="AB58" s="480"/>
      <c r="AC58" s="480"/>
      <c r="AD58" s="480"/>
    </row>
    <row r="59" spans="1:30" ht="36" customHeight="1">
      <c r="A59" s="479"/>
      <c r="B59" s="518">
        <v>42</v>
      </c>
      <c r="C59" s="477">
        <v>3</v>
      </c>
      <c r="D59" s="552" t="s">
        <v>2135</v>
      </c>
      <c r="E59" s="477" t="s">
        <v>2135</v>
      </c>
      <c r="F59" s="477" t="s">
        <v>2135</v>
      </c>
      <c r="G59" s="477"/>
      <c r="H59" s="513"/>
      <c r="I59" s="585" t="str">
        <f t="shared" si="7"/>
        <v>5</v>
      </c>
      <c r="J59" s="585" t="str">
        <f t="shared" si="8"/>
        <v>Валовая прибыль (убытки) от продажи товаров и услуг по регулируемым видам деятельности в сфере холодного водоснабжения</v>
      </c>
      <c r="K59" s="585">
        <f t="shared" si="9"/>
        <v>0</v>
      </c>
      <c r="L59" s="478" t="str">
        <f t="shared" si="10"/>
        <v>5</v>
      </c>
      <c r="M59" s="478" t="str">
        <f t="shared" si="11"/>
        <v>Валовая прибыль (убытки) от продажи товаров и услуг по регулируемым видам деятельности в сфере холодного водоснабжения</v>
      </c>
      <c r="N59" s="478" t="str">
        <f t="shared" si="12"/>
        <v/>
      </c>
      <c r="O59" s="542"/>
      <c r="P59" s="542" t="s">
        <v>109</v>
      </c>
      <c r="Q59" s="542" t="s">
        <v>109</v>
      </c>
      <c r="R59" s="542" t="s">
        <v>109</v>
      </c>
      <c r="S59" s="542"/>
      <c r="T59" s="477"/>
      <c r="U59" s="477" t="s">
        <v>2148</v>
      </c>
      <c r="V59" s="477" t="s">
        <v>2149</v>
      </c>
      <c r="W59" s="477" t="s">
        <v>2150</v>
      </c>
      <c r="X59" s="477"/>
      <c r="Y59" s="582"/>
      <c r="Z59" s="480"/>
      <c r="AA59" s="483"/>
      <c r="AB59" s="480"/>
      <c r="AC59" s="480"/>
      <c r="AD59" s="480"/>
    </row>
    <row r="60" spans="1:30" ht="81" customHeight="1">
      <c r="A60" s="479"/>
      <c r="B60" s="518">
        <v>43</v>
      </c>
      <c r="C60" s="477" t="s">
        <v>2151</v>
      </c>
      <c r="D60" s="552" t="s">
        <v>2151</v>
      </c>
      <c r="E60" s="477" t="s">
        <v>2151</v>
      </c>
      <c r="F60" s="477" t="s">
        <v>2151</v>
      </c>
      <c r="G60" s="477"/>
      <c r="H60" s="513"/>
      <c r="I60" s="585" t="str">
        <f t="shared" si="7"/>
        <v>6</v>
      </c>
      <c r="J60" s="585" t="str">
        <f t="shared" si="8"/>
        <v>Годовая бухгалтерская (финансовая) отчетность, включая бухгалтерский баланс и приложения к нему</v>
      </c>
      <c r="K60" s="58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78" t="str">
        <f t="shared" si="10"/>
        <v>6</v>
      </c>
      <c r="M60" s="478" t="str">
        <f t="shared" si="11"/>
        <v>Годовая бухгалтерская (финансовая) отчетность, включая бухгалтерский баланс и приложения к нему</v>
      </c>
      <c r="N60" s="478"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2" t="s">
        <v>90</v>
      </c>
      <c r="P60" s="542" t="s">
        <v>90</v>
      </c>
      <c r="Q60" s="542" t="s">
        <v>90</v>
      </c>
      <c r="R60" s="542" t="s">
        <v>90</v>
      </c>
      <c r="S60" s="542"/>
      <c r="T60" s="477" t="s">
        <v>628</v>
      </c>
      <c r="U60" s="477" t="s">
        <v>628</v>
      </c>
      <c r="V60" s="477" t="s">
        <v>628</v>
      </c>
      <c r="W60" s="477" t="s">
        <v>628</v>
      </c>
      <c r="X60" s="477"/>
      <c r="Y60" s="582"/>
      <c r="Z60" s="480" t="s">
        <v>2152</v>
      </c>
      <c r="AA60" s="483" t="s">
        <v>2153</v>
      </c>
      <c r="AB60" s="480" t="s">
        <v>2154</v>
      </c>
      <c r="AC60" s="480" t="s">
        <v>2153</v>
      </c>
      <c r="AD60" s="480"/>
    </row>
    <row r="61" spans="1:30" ht="9" customHeight="1">
      <c r="A61" s="479"/>
      <c r="B61" s="518">
        <v>44</v>
      </c>
      <c r="C61" s="477"/>
      <c r="D61" s="552" t="s">
        <v>2155</v>
      </c>
      <c r="E61" s="477"/>
      <c r="F61" s="477"/>
      <c r="G61" s="477"/>
      <c r="H61" s="513"/>
      <c r="I61" s="585" t="str">
        <f t="shared" si="7"/>
        <v>7</v>
      </c>
      <c r="J61" s="585" t="str">
        <f t="shared" si="8"/>
        <v>Объём поднятой воды</v>
      </c>
      <c r="K61" s="585">
        <f t="shared" si="9"/>
        <v>0</v>
      </c>
      <c r="L61" s="478" t="str">
        <f t="shared" si="10"/>
        <v>7</v>
      </c>
      <c r="M61" s="478" t="str">
        <f t="shared" si="11"/>
        <v>Объём поднятой воды</v>
      </c>
      <c r="N61" s="478" t="str">
        <f t="shared" si="12"/>
        <v/>
      </c>
      <c r="O61" s="542"/>
      <c r="P61" s="542" t="s">
        <v>91</v>
      </c>
      <c r="Q61" s="542"/>
      <c r="R61" s="542"/>
      <c r="S61" s="542"/>
      <c r="T61" s="477"/>
      <c r="U61" s="477" t="s">
        <v>2156</v>
      </c>
      <c r="V61" s="477"/>
      <c r="W61" s="477"/>
      <c r="X61" s="477"/>
      <c r="Y61" s="582"/>
      <c r="Z61" s="480"/>
      <c r="AA61" s="483"/>
      <c r="AB61" s="480"/>
      <c r="AC61" s="480"/>
      <c r="AD61" s="480"/>
    </row>
    <row r="62" spans="1:30" ht="9" customHeight="1">
      <c r="A62" s="479"/>
      <c r="B62" s="518">
        <v>45</v>
      </c>
      <c r="C62" s="477"/>
      <c r="D62" s="552" t="s">
        <v>2157</v>
      </c>
      <c r="E62" s="477"/>
      <c r="F62" s="477"/>
      <c r="G62" s="477"/>
      <c r="H62" s="513"/>
      <c r="I62" s="585" t="str">
        <f t="shared" si="7"/>
        <v>8</v>
      </c>
      <c r="J62" s="585" t="str">
        <f t="shared" si="8"/>
        <v>Объём покупной воды</v>
      </c>
      <c r="K62" s="585">
        <f t="shared" si="9"/>
        <v>0</v>
      </c>
      <c r="L62" s="478" t="str">
        <f t="shared" si="10"/>
        <v>8</v>
      </c>
      <c r="M62" s="478" t="str">
        <f t="shared" si="11"/>
        <v>Объём покупной воды</v>
      </c>
      <c r="N62" s="478" t="str">
        <f t="shared" si="12"/>
        <v/>
      </c>
      <c r="O62" s="542"/>
      <c r="P62" s="542" t="s">
        <v>110</v>
      </c>
      <c r="Q62" s="542"/>
      <c r="R62" s="542"/>
      <c r="S62" s="542"/>
      <c r="T62" s="477"/>
      <c r="U62" s="477" t="s">
        <v>2158</v>
      </c>
      <c r="V62" s="477"/>
      <c r="W62" s="477"/>
      <c r="X62" s="477"/>
      <c r="Y62" s="582"/>
      <c r="Z62" s="480"/>
      <c r="AA62" s="483"/>
      <c r="AB62" s="480"/>
      <c r="AC62" s="480"/>
      <c r="AD62" s="480"/>
    </row>
    <row r="63" spans="1:30" ht="18" customHeight="1">
      <c r="A63" s="479"/>
      <c r="B63" s="518">
        <v>46</v>
      </c>
      <c r="C63" s="477"/>
      <c r="D63" s="552" t="s">
        <v>2159</v>
      </c>
      <c r="E63" s="477"/>
      <c r="F63" s="477"/>
      <c r="G63" s="477"/>
      <c r="H63" s="513"/>
      <c r="I63" s="585" t="str">
        <f t="shared" si="7"/>
        <v>9</v>
      </c>
      <c r="J63" s="585" t="str">
        <f t="shared" si="8"/>
        <v>Объём воды, пропущенной через очистные сооружения</v>
      </c>
      <c r="K63" s="585">
        <f t="shared" si="9"/>
        <v>0</v>
      </c>
      <c r="L63" s="478" t="str">
        <f t="shared" si="10"/>
        <v>9</v>
      </c>
      <c r="M63" s="478" t="str">
        <f t="shared" si="11"/>
        <v>Объём воды, пропущенной через очистные сооружения</v>
      </c>
      <c r="N63" s="478" t="str">
        <f t="shared" si="12"/>
        <v/>
      </c>
      <c r="O63" s="542"/>
      <c r="P63" s="542" t="s">
        <v>146</v>
      </c>
      <c r="Q63" s="542"/>
      <c r="R63" s="542"/>
      <c r="S63" s="542"/>
      <c r="T63" s="477"/>
      <c r="U63" s="477" t="s">
        <v>2160</v>
      </c>
      <c r="V63" s="477"/>
      <c r="W63" s="477"/>
      <c r="X63" s="477"/>
      <c r="Y63" s="582"/>
      <c r="Z63" s="480"/>
      <c r="AA63" s="483"/>
      <c r="AB63" s="480"/>
      <c r="AC63" s="480"/>
      <c r="AD63" s="480"/>
    </row>
    <row r="64" spans="1:30" ht="18" customHeight="1">
      <c r="A64" s="479"/>
      <c r="B64" s="518">
        <v>47</v>
      </c>
      <c r="C64" s="477"/>
      <c r="D64" s="552" t="s">
        <v>2161</v>
      </c>
      <c r="E64" s="477"/>
      <c r="F64" s="477"/>
      <c r="G64" s="477"/>
      <c r="H64" s="513"/>
      <c r="I64" s="585" t="str">
        <f t="shared" si="7"/>
        <v>10</v>
      </c>
      <c r="J64" s="585" t="str">
        <f t="shared" si="8"/>
        <v>Объём отпущенной потребителям воды, в том числе:</v>
      </c>
      <c r="K64" s="585" t="str">
        <f t="shared" si="9"/>
        <v>Указывается общий объем отпущенной потребителям воды.</v>
      </c>
      <c r="L64" s="478" t="str">
        <f t="shared" si="10"/>
        <v>10</v>
      </c>
      <c r="M64" s="478" t="str">
        <f t="shared" si="11"/>
        <v>Объём отпущенной потребителям воды, в том числе:</v>
      </c>
      <c r="N64" s="478" t="str">
        <f t="shared" si="12"/>
        <v>Указывается общий объем отпущенной потребителям воды.</v>
      </c>
      <c r="O64" s="542"/>
      <c r="P64" s="542" t="s">
        <v>147</v>
      </c>
      <c r="Q64" s="542"/>
      <c r="R64" s="542"/>
      <c r="S64" s="542"/>
      <c r="T64" s="477"/>
      <c r="U64" s="477" t="s">
        <v>2162</v>
      </c>
      <c r="V64" s="477"/>
      <c r="W64" s="477"/>
      <c r="X64" s="477"/>
      <c r="Y64" s="582"/>
      <c r="Z64" s="480"/>
      <c r="AA64" s="483" t="s">
        <v>2163</v>
      </c>
      <c r="AB64" s="480"/>
      <c r="AC64" s="480"/>
      <c r="AD64" s="480"/>
    </row>
    <row r="65" spans="1:30" ht="18" customHeight="1">
      <c r="A65" s="479"/>
      <c r="B65" s="518">
        <v>48</v>
      </c>
      <c r="C65" s="477"/>
      <c r="D65" s="552"/>
      <c r="E65" s="477"/>
      <c r="F65" s="477"/>
      <c r="G65" s="477"/>
      <c r="H65" s="513"/>
      <c r="I65" s="585" t="str">
        <f t="shared" si="7"/>
        <v>10.1</v>
      </c>
      <c r="J65" s="585" t="str">
        <f t="shared" si="8"/>
        <v>Объём отпущенной потребителям воды, определенный по приборам учета</v>
      </c>
      <c r="K65" s="585">
        <f t="shared" si="9"/>
        <v>0</v>
      </c>
      <c r="L65" s="478" t="str">
        <f t="shared" si="10"/>
        <v>10.1</v>
      </c>
      <c r="M65" s="478" t="str">
        <f t="shared" si="11"/>
        <v>Объём отпущенной потребителям воды, определенный по приборам учета</v>
      </c>
      <c r="N65" s="478" t="str">
        <f t="shared" si="12"/>
        <v/>
      </c>
      <c r="O65" s="542"/>
      <c r="P65" s="542" t="s">
        <v>2076</v>
      </c>
      <c r="Q65" s="542"/>
      <c r="R65" s="542"/>
      <c r="S65" s="542"/>
      <c r="T65" s="477"/>
      <c r="U65" s="477" t="s">
        <v>2164</v>
      </c>
      <c r="V65" s="477"/>
      <c r="W65" s="477"/>
      <c r="X65" s="477"/>
      <c r="Y65" s="582"/>
      <c r="Z65" s="480"/>
      <c r="AA65" s="483"/>
      <c r="AB65" s="480"/>
      <c r="AC65" s="480"/>
      <c r="AD65" s="480"/>
    </row>
    <row r="66" spans="1:30" ht="18" customHeight="1">
      <c r="A66" s="479"/>
      <c r="B66" s="518">
        <v>49</v>
      </c>
      <c r="C66" s="477"/>
      <c r="D66" s="552"/>
      <c r="E66" s="477"/>
      <c r="F66" s="477"/>
      <c r="G66" s="477"/>
      <c r="H66" s="513"/>
      <c r="I66" s="585" t="str">
        <f t="shared" si="7"/>
        <v>10.2</v>
      </c>
      <c r="J66" s="585" t="str">
        <f t="shared" si="8"/>
        <v>Объём отпущенной потребителям воды, определенный расчетным способом</v>
      </c>
      <c r="K66" s="585">
        <f t="shared" si="9"/>
        <v>0</v>
      </c>
      <c r="L66" s="478" t="str">
        <f t="shared" si="10"/>
        <v>10.2</v>
      </c>
      <c r="M66" s="478" t="str">
        <f t="shared" si="11"/>
        <v>Объём отпущенной потребителям воды, определенный расчетным способом</v>
      </c>
      <c r="N66" s="478" t="str">
        <f t="shared" si="12"/>
        <v/>
      </c>
      <c r="O66" s="542"/>
      <c r="P66" s="542" t="s">
        <v>2080</v>
      </c>
      <c r="Q66" s="542"/>
      <c r="R66" s="542"/>
      <c r="S66" s="542"/>
      <c r="T66" s="477"/>
      <c r="U66" s="477" t="s">
        <v>2165</v>
      </c>
      <c r="V66" s="477"/>
      <c r="W66" s="477"/>
      <c r="X66" s="477"/>
      <c r="Y66" s="582"/>
      <c r="Z66" s="480"/>
      <c r="AA66" s="483"/>
      <c r="AB66" s="480"/>
      <c r="AC66" s="480"/>
      <c r="AD66" s="480"/>
    </row>
    <row r="67" spans="1:30" ht="27" customHeight="1">
      <c r="A67" s="479"/>
      <c r="B67" s="518">
        <v>50</v>
      </c>
      <c r="C67" s="477"/>
      <c r="D67" s="552"/>
      <c r="E67" s="477"/>
      <c r="F67" s="477"/>
      <c r="G67" s="477"/>
      <c r="H67" s="513"/>
      <c r="I67" s="585" t="str">
        <f t="shared" si="7"/>
        <v>10.2.1</v>
      </c>
      <c r="J67" s="585" t="str">
        <f t="shared" si="8"/>
        <v>Объём отпущенной потребителям воды, определенный по нормативам потребления коммунальных услуг</v>
      </c>
      <c r="K67" s="585">
        <f t="shared" si="9"/>
        <v>0</v>
      </c>
      <c r="L67" s="478" t="str">
        <f t="shared" si="10"/>
        <v>10.2.1</v>
      </c>
      <c r="M67" s="478" t="str">
        <f t="shared" si="11"/>
        <v>Объём отпущенной потребителям воды, определенный по нормативам потребления коммунальных услуг</v>
      </c>
      <c r="N67" s="478" t="str">
        <f t="shared" si="12"/>
        <v/>
      </c>
      <c r="O67" s="542"/>
      <c r="P67" s="542" t="s">
        <v>2166</v>
      </c>
      <c r="Q67" s="542"/>
      <c r="R67" s="542"/>
      <c r="S67" s="542"/>
      <c r="T67" s="477"/>
      <c r="U67" s="477" t="s">
        <v>2167</v>
      </c>
      <c r="V67" s="477"/>
      <c r="W67" s="477"/>
      <c r="X67" s="477"/>
      <c r="Y67" s="582"/>
      <c r="Z67" s="480"/>
      <c r="AA67" s="483"/>
      <c r="AB67" s="480"/>
      <c r="AC67" s="480"/>
      <c r="AD67" s="480"/>
    </row>
    <row r="68" spans="1:30" ht="27" customHeight="1">
      <c r="A68" s="479"/>
      <c r="B68" s="518">
        <v>51</v>
      </c>
      <c r="C68" s="477"/>
      <c r="D68" s="552"/>
      <c r="E68" s="477"/>
      <c r="F68" s="477"/>
      <c r="G68" s="477"/>
      <c r="H68" s="513"/>
      <c r="I68" s="585" t="str">
        <f t="shared" si="7"/>
        <v>10.2.2</v>
      </c>
      <c r="J68" s="585" t="str">
        <f t="shared" si="8"/>
        <v xml:space="preserve">Объём отпущенной потребителям воды, определенный по нормативам потребления коммунальных ресурсов </v>
      </c>
      <c r="K68" s="585">
        <f t="shared" si="9"/>
        <v>0</v>
      </c>
      <c r="L68" s="478" t="str">
        <f t="shared" si="10"/>
        <v>10.2.2</v>
      </c>
      <c r="M68" s="478" t="str">
        <f t="shared" si="11"/>
        <v xml:space="preserve">Объём отпущенной потребителям воды, определенный по нормативам потребления коммунальных ресурсов </v>
      </c>
      <c r="N68" s="478" t="str">
        <f t="shared" si="12"/>
        <v/>
      </c>
      <c r="O68" s="542"/>
      <c r="P68" s="542" t="s">
        <v>2168</v>
      </c>
      <c r="Q68" s="542"/>
      <c r="R68" s="542"/>
      <c r="S68" s="542"/>
      <c r="T68" s="477"/>
      <c r="U68" s="477" t="s">
        <v>2169</v>
      </c>
      <c r="V68" s="477"/>
      <c r="W68" s="477"/>
      <c r="X68" s="477"/>
      <c r="Y68" s="582"/>
      <c r="Z68" s="480"/>
      <c r="AA68" s="483"/>
      <c r="AB68" s="480"/>
      <c r="AC68" s="480"/>
      <c r="AD68" s="480"/>
    </row>
    <row r="69" spans="1:30" ht="9" customHeight="1">
      <c r="A69" s="479"/>
      <c r="B69" s="518">
        <v>52</v>
      </c>
      <c r="C69" s="477"/>
      <c r="D69" s="552" t="s">
        <v>2170</v>
      </c>
      <c r="E69" s="477"/>
      <c r="F69" s="477"/>
      <c r="G69" s="477"/>
      <c r="H69" s="513"/>
      <c r="I69" s="585" t="str">
        <f t="shared" si="7"/>
        <v>11</v>
      </c>
      <c r="J69" s="585" t="str">
        <f t="shared" si="8"/>
        <v>Потери воды в сетях</v>
      </c>
      <c r="K69" s="585">
        <f t="shared" si="9"/>
        <v>0</v>
      </c>
      <c r="L69" s="478" t="str">
        <f t="shared" si="10"/>
        <v>11</v>
      </c>
      <c r="M69" s="478" t="str">
        <f t="shared" si="11"/>
        <v>Потери воды в сетях</v>
      </c>
      <c r="N69" s="478" t="str">
        <f t="shared" si="12"/>
        <v/>
      </c>
      <c r="O69" s="542"/>
      <c r="P69" s="542" t="s">
        <v>148</v>
      </c>
      <c r="Q69" s="542"/>
      <c r="R69" s="542"/>
      <c r="S69" s="542"/>
      <c r="T69" s="477"/>
      <c r="U69" s="477" t="s">
        <v>2171</v>
      </c>
      <c r="V69" s="477"/>
      <c r="W69" s="477"/>
      <c r="X69" s="477"/>
      <c r="Y69" s="582"/>
      <c r="Z69" s="480"/>
      <c r="AA69" s="483"/>
      <c r="AB69" s="480"/>
      <c r="AC69" s="480"/>
      <c r="AD69" s="480"/>
    </row>
    <row r="70" spans="1:30" ht="27" customHeight="1">
      <c r="A70" s="479"/>
      <c r="B70" s="518">
        <v>53</v>
      </c>
      <c r="C70" s="477"/>
      <c r="D70" s="552"/>
      <c r="E70" s="477" t="s">
        <v>2155</v>
      </c>
      <c r="F70" s="477"/>
      <c r="G70" s="477"/>
      <c r="H70" s="513"/>
      <c r="I70" s="585">
        <f t="shared" si="7"/>
        <v>0</v>
      </c>
      <c r="J70" s="585">
        <f t="shared" si="8"/>
        <v>0</v>
      </c>
      <c r="K70" s="585">
        <f t="shared" si="9"/>
        <v>0</v>
      </c>
      <c r="L70" s="478" t="str">
        <f t="shared" si="10"/>
        <v/>
      </c>
      <c r="M70" s="478" t="str">
        <f t="shared" si="11"/>
        <v/>
      </c>
      <c r="N70" s="478" t="str">
        <f t="shared" si="12"/>
        <v/>
      </c>
      <c r="O70" s="542"/>
      <c r="P70" s="542"/>
      <c r="Q70" s="542" t="s">
        <v>91</v>
      </c>
      <c r="R70" s="542"/>
      <c r="S70" s="542"/>
      <c r="T70" s="477"/>
      <c r="U70" s="477"/>
      <c r="V70" s="477" t="s">
        <v>2172</v>
      </c>
      <c r="W70" s="477"/>
      <c r="X70" s="477"/>
      <c r="Y70" s="582"/>
      <c r="Z70" s="480"/>
      <c r="AA70" s="483"/>
      <c r="AB70" s="480"/>
      <c r="AC70" s="480"/>
      <c r="AD70" s="480"/>
    </row>
    <row r="71" spans="1:30" ht="36" customHeight="1">
      <c r="A71" s="479"/>
      <c r="B71" s="518">
        <v>54</v>
      </c>
      <c r="C71" s="477"/>
      <c r="D71" s="552"/>
      <c r="E71" s="477" t="s">
        <v>2157</v>
      </c>
      <c r="F71" s="477"/>
      <c r="G71" s="477"/>
      <c r="H71" s="513"/>
      <c r="I71" s="585">
        <f t="shared" si="7"/>
        <v>0</v>
      </c>
      <c r="J71" s="585">
        <f t="shared" si="8"/>
        <v>0</v>
      </c>
      <c r="K71" s="585">
        <f t="shared" si="9"/>
        <v>0</v>
      </c>
      <c r="L71" s="478" t="str">
        <f t="shared" si="10"/>
        <v/>
      </c>
      <c r="M71" s="478" t="str">
        <f t="shared" si="11"/>
        <v/>
      </c>
      <c r="N71" s="478" t="str">
        <f t="shared" si="12"/>
        <v/>
      </c>
      <c r="O71" s="542"/>
      <c r="P71" s="542"/>
      <c r="Q71" s="542" t="s">
        <v>110</v>
      </c>
      <c r="R71" s="542"/>
      <c r="S71" s="542"/>
      <c r="T71" s="477"/>
      <c r="U71" s="477"/>
      <c r="V71" s="477" t="s">
        <v>2173</v>
      </c>
      <c r="W71" s="477"/>
      <c r="X71" s="477"/>
      <c r="Y71" s="582"/>
      <c r="Z71" s="480"/>
      <c r="AA71" s="483"/>
      <c r="AB71" s="480"/>
      <c r="AC71" s="480"/>
      <c r="AD71" s="480"/>
    </row>
    <row r="72" spans="1:30" ht="27" customHeight="1">
      <c r="A72" s="479"/>
      <c r="B72" s="518">
        <v>55</v>
      </c>
      <c r="C72" s="477"/>
      <c r="D72" s="552"/>
      <c r="E72" s="477" t="s">
        <v>2159</v>
      </c>
      <c r="F72" s="477"/>
      <c r="G72" s="477"/>
      <c r="H72" s="513"/>
      <c r="I72" s="585">
        <f t="shared" si="7"/>
        <v>0</v>
      </c>
      <c r="J72" s="585">
        <f t="shared" si="8"/>
        <v>0</v>
      </c>
      <c r="K72" s="585">
        <f t="shared" si="9"/>
        <v>0</v>
      </c>
      <c r="L72" s="478" t="str">
        <f t="shared" si="10"/>
        <v/>
      </c>
      <c r="M72" s="478" t="str">
        <f t="shared" si="11"/>
        <v/>
      </c>
      <c r="N72" s="478" t="str">
        <f t="shared" si="12"/>
        <v/>
      </c>
      <c r="O72" s="542"/>
      <c r="P72" s="542"/>
      <c r="Q72" s="542" t="s">
        <v>146</v>
      </c>
      <c r="R72" s="542"/>
      <c r="S72" s="542"/>
      <c r="T72" s="477"/>
      <c r="U72" s="477"/>
      <c r="V72" s="477" t="s">
        <v>2174</v>
      </c>
      <c r="W72" s="477"/>
      <c r="X72" s="477"/>
      <c r="Y72" s="582"/>
      <c r="Z72" s="480"/>
      <c r="AA72" s="483"/>
      <c r="AB72" s="480"/>
      <c r="AC72" s="480"/>
      <c r="AD72" s="480"/>
    </row>
    <row r="73" spans="1:30" ht="36" customHeight="1">
      <c r="A73" s="479"/>
      <c r="B73" s="518">
        <v>56</v>
      </c>
      <c r="C73" s="477"/>
      <c r="D73" s="552"/>
      <c r="E73" s="477" t="s">
        <v>2161</v>
      </c>
      <c r="F73" s="477"/>
      <c r="G73" s="477"/>
      <c r="H73" s="513"/>
      <c r="I73" s="585">
        <f t="shared" si="7"/>
        <v>0</v>
      </c>
      <c r="J73" s="585">
        <f t="shared" si="8"/>
        <v>0</v>
      </c>
      <c r="K73" s="585">
        <f t="shared" si="9"/>
        <v>0</v>
      </c>
      <c r="L73" s="478" t="str">
        <f t="shared" si="10"/>
        <v/>
      </c>
      <c r="M73" s="478" t="str">
        <f t="shared" si="11"/>
        <v/>
      </c>
      <c r="N73" s="478" t="str">
        <f t="shared" si="12"/>
        <v/>
      </c>
      <c r="O73" s="542"/>
      <c r="P73" s="542"/>
      <c r="Q73" s="542" t="s">
        <v>147</v>
      </c>
      <c r="R73" s="542"/>
      <c r="S73" s="542"/>
      <c r="T73" s="477"/>
      <c r="U73" s="477"/>
      <c r="V73" s="477" t="s">
        <v>2175</v>
      </c>
      <c r="W73" s="477"/>
      <c r="X73" s="477"/>
      <c r="Y73" s="582"/>
      <c r="Z73" s="480"/>
      <c r="AA73" s="483"/>
      <c r="AB73" s="480"/>
      <c r="AC73" s="480"/>
      <c r="AD73" s="480"/>
    </row>
    <row r="74" spans="1:30" ht="18" customHeight="1">
      <c r="A74" s="479"/>
      <c r="B74" s="518">
        <v>57</v>
      </c>
      <c r="C74" s="477"/>
      <c r="D74" s="552"/>
      <c r="E74" s="477" t="s">
        <v>2170</v>
      </c>
      <c r="F74" s="477"/>
      <c r="G74" s="477"/>
      <c r="H74" s="513"/>
      <c r="I74" s="585">
        <f t="shared" si="7"/>
        <v>0</v>
      </c>
      <c r="J74" s="585">
        <f t="shared" si="8"/>
        <v>0</v>
      </c>
      <c r="K74" s="585">
        <f t="shared" si="9"/>
        <v>0</v>
      </c>
      <c r="L74" s="478" t="str">
        <f t="shared" si="10"/>
        <v/>
      </c>
      <c r="M74" s="478" t="str">
        <f t="shared" si="11"/>
        <v/>
      </c>
      <c r="N74" s="478" t="str">
        <f t="shared" si="12"/>
        <v/>
      </c>
      <c r="O74" s="542"/>
      <c r="P74" s="542"/>
      <c r="Q74" s="542" t="s">
        <v>148</v>
      </c>
      <c r="R74" s="542"/>
      <c r="S74" s="542"/>
      <c r="T74" s="477"/>
      <c r="U74" s="477"/>
      <c r="V74" s="477" t="s">
        <v>2176</v>
      </c>
      <c r="W74" s="477"/>
      <c r="X74" s="477"/>
      <c r="Y74" s="582"/>
      <c r="Z74" s="480"/>
      <c r="AA74" s="483"/>
      <c r="AB74" s="480"/>
      <c r="AC74" s="480"/>
      <c r="AD74" s="480"/>
    </row>
    <row r="75" spans="1:30" ht="18" customHeight="1">
      <c r="A75" s="479"/>
      <c r="B75" s="518">
        <v>58</v>
      </c>
      <c r="C75" s="477"/>
      <c r="D75" s="552"/>
      <c r="E75" s="477"/>
      <c r="F75" s="477" t="s">
        <v>2155</v>
      </c>
      <c r="G75" s="477"/>
      <c r="H75" s="513"/>
      <c r="I75" s="585">
        <f t="shared" si="7"/>
        <v>0</v>
      </c>
      <c r="J75" s="585">
        <f t="shared" si="8"/>
        <v>0</v>
      </c>
      <c r="K75" s="585">
        <f t="shared" si="9"/>
        <v>0</v>
      </c>
      <c r="L75" s="478" t="str">
        <f t="shared" si="10"/>
        <v/>
      </c>
      <c r="M75" s="478" t="str">
        <f t="shared" si="11"/>
        <v/>
      </c>
      <c r="N75" s="478" t="str">
        <f t="shared" si="12"/>
        <v/>
      </c>
      <c r="O75" s="542"/>
      <c r="P75" s="542"/>
      <c r="Q75" s="542"/>
      <c r="R75" s="542" t="s">
        <v>91</v>
      </c>
      <c r="S75" s="542"/>
      <c r="T75" s="477"/>
      <c r="U75" s="477"/>
      <c r="V75" s="477"/>
      <c r="W75" s="477" t="s">
        <v>2177</v>
      </c>
      <c r="X75" s="477"/>
      <c r="Y75" s="582"/>
      <c r="Z75" s="480"/>
      <c r="AA75" s="483"/>
      <c r="AB75" s="480"/>
      <c r="AC75" s="480"/>
      <c r="AD75" s="480"/>
    </row>
    <row r="76" spans="1:30" ht="36" customHeight="1">
      <c r="A76" s="479"/>
      <c r="B76" s="518">
        <v>59</v>
      </c>
      <c r="C76" s="477"/>
      <c r="D76" s="552"/>
      <c r="E76" s="477"/>
      <c r="F76" s="477" t="s">
        <v>2157</v>
      </c>
      <c r="G76" s="477"/>
      <c r="H76" s="513"/>
      <c r="I76" s="585">
        <f t="shared" si="7"/>
        <v>0</v>
      </c>
      <c r="J76" s="585">
        <f t="shared" si="8"/>
        <v>0</v>
      </c>
      <c r="K76" s="585">
        <f t="shared" si="9"/>
        <v>0</v>
      </c>
      <c r="L76" s="478" t="str">
        <f t="shared" si="10"/>
        <v/>
      </c>
      <c r="M76" s="478" t="str">
        <f t="shared" si="11"/>
        <v/>
      </c>
      <c r="N76" s="478" t="str">
        <f t="shared" si="12"/>
        <v/>
      </c>
      <c r="O76" s="542"/>
      <c r="P76" s="542"/>
      <c r="Q76" s="542"/>
      <c r="R76" s="542" t="s">
        <v>110</v>
      </c>
      <c r="S76" s="542"/>
      <c r="T76" s="477"/>
      <c r="U76" s="477"/>
      <c r="V76" s="477"/>
      <c r="W76" s="477" t="s">
        <v>2178</v>
      </c>
      <c r="X76" s="477"/>
      <c r="Y76" s="582"/>
      <c r="Z76" s="480"/>
      <c r="AA76" s="483"/>
      <c r="AB76" s="480"/>
      <c r="AC76" s="480"/>
      <c r="AD76" s="480"/>
    </row>
    <row r="77" spans="1:30" ht="18" customHeight="1">
      <c r="A77" s="479"/>
      <c r="B77" s="518">
        <v>60</v>
      </c>
      <c r="C77" s="477"/>
      <c r="D77" s="552"/>
      <c r="E77" s="477"/>
      <c r="F77" s="477" t="s">
        <v>2159</v>
      </c>
      <c r="G77" s="477"/>
      <c r="H77" s="513"/>
      <c r="I77" s="585">
        <f t="shared" si="7"/>
        <v>0</v>
      </c>
      <c r="J77" s="585">
        <f t="shared" si="8"/>
        <v>0</v>
      </c>
      <c r="K77" s="585">
        <f t="shared" si="9"/>
        <v>0</v>
      </c>
      <c r="L77" s="478" t="str">
        <f t="shared" si="10"/>
        <v/>
      </c>
      <c r="M77" s="478" t="str">
        <f t="shared" si="11"/>
        <v/>
      </c>
      <c r="N77" s="478" t="str">
        <f t="shared" si="12"/>
        <v/>
      </c>
      <c r="O77" s="542"/>
      <c r="P77" s="542"/>
      <c r="Q77" s="542"/>
      <c r="R77" s="542" t="s">
        <v>146</v>
      </c>
      <c r="S77" s="542"/>
      <c r="T77" s="477"/>
      <c r="U77" s="477"/>
      <c r="V77" s="477"/>
      <c r="W77" s="477" t="s">
        <v>2179</v>
      </c>
      <c r="X77" s="477"/>
      <c r="Y77" s="582"/>
      <c r="Z77" s="480"/>
      <c r="AA77" s="483"/>
      <c r="AB77" s="480"/>
      <c r="AC77" s="480"/>
      <c r="AD77" s="480"/>
    </row>
    <row r="78" spans="1:30" ht="72" customHeight="1">
      <c r="A78" s="479"/>
      <c r="B78" s="518">
        <v>61</v>
      </c>
      <c r="C78" s="477" t="s">
        <v>2155</v>
      </c>
      <c r="D78" s="552"/>
      <c r="E78" s="477"/>
      <c r="F78" s="477"/>
      <c r="G78" s="477"/>
      <c r="H78" s="513"/>
      <c r="I78" s="585">
        <f t="shared" si="7"/>
        <v>0</v>
      </c>
      <c r="J78" s="585">
        <f t="shared" si="8"/>
        <v>0</v>
      </c>
      <c r="K78" s="585">
        <f t="shared" si="9"/>
        <v>0</v>
      </c>
      <c r="L78" s="478" t="str">
        <f t="shared" si="10"/>
        <v/>
      </c>
      <c r="M78" s="478" t="str">
        <f t="shared" si="11"/>
        <v/>
      </c>
      <c r="N78" s="478" t="str">
        <f t="shared" si="12"/>
        <v/>
      </c>
      <c r="O78" s="542" t="s">
        <v>91</v>
      </c>
      <c r="P78" s="542"/>
      <c r="Q78" s="542"/>
      <c r="R78" s="542"/>
      <c r="S78" s="542"/>
      <c r="T78" s="477" t="s">
        <v>633</v>
      </c>
      <c r="U78" s="477"/>
      <c r="V78" s="477"/>
      <c r="W78" s="477"/>
      <c r="X78" s="477"/>
      <c r="Y78" s="582"/>
      <c r="Z78" s="480" t="s">
        <v>2180</v>
      </c>
      <c r="AA78" s="483"/>
      <c r="AB78" s="480"/>
      <c r="AC78" s="480"/>
      <c r="AD78" s="480"/>
    </row>
    <row r="79" spans="1:30" ht="36" customHeight="1">
      <c r="A79" s="479"/>
      <c r="B79" s="518">
        <v>62</v>
      </c>
      <c r="C79" s="477" t="s">
        <v>2157</v>
      </c>
      <c r="D79" s="552"/>
      <c r="E79" s="477"/>
      <c r="F79" s="477"/>
      <c r="G79" s="477"/>
      <c r="H79" s="513"/>
      <c r="I79" s="585">
        <f t="shared" si="7"/>
        <v>0</v>
      </c>
      <c r="J79" s="585">
        <f t="shared" si="8"/>
        <v>0</v>
      </c>
      <c r="K79" s="585">
        <f t="shared" si="9"/>
        <v>0</v>
      </c>
      <c r="L79" s="478" t="str">
        <f t="shared" si="10"/>
        <v/>
      </c>
      <c r="M79" s="478" t="str">
        <f t="shared" si="11"/>
        <v/>
      </c>
      <c r="N79" s="478" t="str">
        <f t="shared" si="12"/>
        <v/>
      </c>
      <c r="O79" s="542" t="s">
        <v>110</v>
      </c>
      <c r="P79" s="542"/>
      <c r="Q79" s="542"/>
      <c r="R79" s="542"/>
      <c r="S79" s="542"/>
      <c r="T79" s="477" t="s">
        <v>2181</v>
      </c>
      <c r="U79" s="477"/>
      <c r="V79" s="477"/>
      <c r="W79" s="477"/>
      <c r="X79" s="477"/>
      <c r="Y79" s="582"/>
      <c r="Z79" s="480" t="s">
        <v>2182</v>
      </c>
      <c r="AA79" s="483"/>
      <c r="AB79" s="480"/>
      <c r="AC79" s="480"/>
      <c r="AD79" s="480"/>
    </row>
    <row r="80" spans="1:30" ht="45" customHeight="1">
      <c r="A80" s="479"/>
      <c r="B80" s="518">
        <v>63</v>
      </c>
      <c r="C80" s="477" t="s">
        <v>2159</v>
      </c>
      <c r="D80" s="552"/>
      <c r="E80" s="477"/>
      <c r="F80" s="477"/>
      <c r="G80" s="477"/>
      <c r="H80" s="513"/>
      <c r="I80" s="585">
        <f t="shared" si="7"/>
        <v>0</v>
      </c>
      <c r="J80" s="585">
        <f t="shared" si="8"/>
        <v>0</v>
      </c>
      <c r="K80" s="585">
        <f t="shared" si="9"/>
        <v>0</v>
      </c>
      <c r="L80" s="478" t="str">
        <f t="shared" si="10"/>
        <v/>
      </c>
      <c r="M80" s="478" t="str">
        <f t="shared" si="11"/>
        <v/>
      </c>
      <c r="N80" s="478" t="str">
        <f t="shared" si="12"/>
        <v/>
      </c>
      <c r="O80" s="542" t="s">
        <v>146</v>
      </c>
      <c r="P80" s="542"/>
      <c r="Q80" s="542"/>
      <c r="R80" s="542"/>
      <c r="S80" s="542"/>
      <c r="T80" s="477" t="s">
        <v>2183</v>
      </c>
      <c r="U80" s="477"/>
      <c r="V80" s="477"/>
      <c r="W80" s="477"/>
      <c r="X80" s="477"/>
      <c r="Y80" s="582"/>
      <c r="Z80" s="480" t="s">
        <v>2184</v>
      </c>
      <c r="AA80" s="483"/>
      <c r="AB80" s="480"/>
      <c r="AC80" s="480"/>
      <c r="AD80" s="480"/>
    </row>
    <row r="81" spans="1:30" ht="36" customHeight="1">
      <c r="A81" s="479"/>
      <c r="B81" s="518">
        <v>64</v>
      </c>
      <c r="C81" s="477" t="s">
        <v>2161</v>
      </c>
      <c r="D81" s="552"/>
      <c r="E81" s="477"/>
      <c r="F81" s="477"/>
      <c r="G81" s="477"/>
      <c r="H81" s="513"/>
      <c r="I81" s="585">
        <f t="shared" si="7"/>
        <v>0</v>
      </c>
      <c r="J81" s="585">
        <f t="shared" si="8"/>
        <v>0</v>
      </c>
      <c r="K81" s="585">
        <f t="shared" si="9"/>
        <v>0</v>
      </c>
      <c r="L81" s="478" t="str">
        <f t="shared" si="10"/>
        <v/>
      </c>
      <c r="M81" s="478" t="str">
        <f t="shared" si="11"/>
        <v/>
      </c>
      <c r="N81" s="478" t="str">
        <f t="shared" si="12"/>
        <v/>
      </c>
      <c r="O81" s="542" t="s">
        <v>2067</v>
      </c>
      <c r="P81" s="542"/>
      <c r="Q81" s="542"/>
      <c r="R81" s="542"/>
      <c r="S81" s="542"/>
      <c r="T81" s="477" t="s">
        <v>2185</v>
      </c>
      <c r="U81" s="477"/>
      <c r="V81" s="477"/>
      <c r="W81" s="477"/>
      <c r="X81" s="477"/>
      <c r="Y81" s="582"/>
      <c r="Z81" s="480" t="s">
        <v>2186</v>
      </c>
      <c r="AA81" s="483"/>
      <c r="AB81" s="480"/>
      <c r="AC81" s="480"/>
      <c r="AD81" s="480"/>
    </row>
    <row r="82" spans="1:30" ht="90" customHeight="1">
      <c r="A82" s="479"/>
      <c r="B82" s="518">
        <v>65</v>
      </c>
      <c r="C82" s="477" t="s">
        <v>2170</v>
      </c>
      <c r="D82" s="552"/>
      <c r="E82" s="477"/>
      <c r="F82" s="477"/>
      <c r="G82" s="477"/>
      <c r="H82" s="513"/>
      <c r="I82" s="585">
        <f t="shared" ref="I82:I101" si="13">INDEX(TEMPLATE_NUMBER_POINT_FHD,B82,MATCH(TEMPLATE_SPHERE,TEMPLATE_SPHERE_LIST_FOR_NOTE,0))</f>
        <v>0</v>
      </c>
      <c r="J82" s="585">
        <f t="shared" ref="J82:J101" si="14">INDEX(TEMPLATE_DATA_POINT_FHD,B82,MATCH(TEMPLATE_SPHERE,TEMPLATE_SPHERE_LIST_FOR_NOTE,0))</f>
        <v>0</v>
      </c>
      <c r="K82" s="585">
        <f t="shared" ref="K82:K101" si="15">INDEX(TEMPLATE_NOTE_POINT_FHD,B82,MATCH(TEMPLATE_SPHERE,TEMPLATE_SPHERE_LIST_FOR_NOTE,0))</f>
        <v>0</v>
      </c>
      <c r="L82" s="478" t="str">
        <f t="shared" ref="L82:L101" si="16">IF(I82=0,"",I82)</f>
        <v/>
      </c>
      <c r="M82" s="478" t="str">
        <f t="shared" ref="M82:M101" si="17">IF(J82=0,"",J82)</f>
        <v/>
      </c>
      <c r="N82" s="478" t="str">
        <f t="shared" ref="N82:N101" si="18">IF(K82=0,"",K82)</f>
        <v/>
      </c>
      <c r="O82" s="542" t="s">
        <v>147</v>
      </c>
      <c r="P82" s="542"/>
      <c r="Q82" s="542"/>
      <c r="R82" s="542"/>
      <c r="S82" s="542"/>
      <c r="T82" s="477" t="s">
        <v>2187</v>
      </c>
      <c r="U82" s="477"/>
      <c r="V82" s="477"/>
      <c r="W82" s="477"/>
      <c r="X82" s="477"/>
      <c r="Y82" s="582"/>
      <c r="Z82" s="480" t="s">
        <v>2188</v>
      </c>
      <c r="AA82" s="483"/>
      <c r="AB82" s="480"/>
      <c r="AC82" s="480"/>
      <c r="AD82" s="480"/>
    </row>
    <row r="83" spans="1:30" ht="9" customHeight="1">
      <c r="A83" s="479"/>
      <c r="B83" s="518">
        <v>66</v>
      </c>
      <c r="C83" s="477"/>
      <c r="D83" s="552"/>
      <c r="E83" s="477"/>
      <c r="F83" s="477"/>
      <c r="G83" s="477"/>
      <c r="H83" s="513"/>
      <c r="I83" s="585">
        <f t="shared" si="13"/>
        <v>0</v>
      </c>
      <c r="J83" s="585">
        <f t="shared" si="14"/>
        <v>0</v>
      </c>
      <c r="K83" s="585">
        <f t="shared" si="15"/>
        <v>0</v>
      </c>
      <c r="L83" s="478" t="str">
        <f t="shared" si="16"/>
        <v/>
      </c>
      <c r="M83" s="478" t="str">
        <f t="shared" si="17"/>
        <v/>
      </c>
      <c r="N83" s="478" t="str">
        <f t="shared" si="18"/>
        <v/>
      </c>
      <c r="O83" s="542" t="s">
        <v>2076</v>
      </c>
      <c r="P83" s="542"/>
      <c r="Q83" s="542"/>
      <c r="R83" s="542"/>
      <c r="S83" s="542"/>
      <c r="T83" s="477" t="s">
        <v>2189</v>
      </c>
      <c r="U83" s="477"/>
      <c r="V83" s="477"/>
      <c r="W83" s="477"/>
      <c r="X83" s="477"/>
      <c r="Y83" s="582"/>
      <c r="Z83" s="480"/>
      <c r="AA83" s="483"/>
      <c r="AB83" s="480"/>
      <c r="AC83" s="480"/>
      <c r="AD83" s="480"/>
    </row>
    <row r="84" spans="1:30" ht="54" customHeight="1">
      <c r="A84" s="479"/>
      <c r="B84" s="518">
        <v>67</v>
      </c>
      <c r="C84" s="477"/>
      <c r="D84" s="552"/>
      <c r="E84" s="477"/>
      <c r="F84" s="477"/>
      <c r="G84" s="477"/>
      <c r="H84" s="513"/>
      <c r="I84" s="585">
        <f t="shared" si="13"/>
        <v>0</v>
      </c>
      <c r="J84" s="585">
        <f t="shared" si="14"/>
        <v>0</v>
      </c>
      <c r="K84" s="585">
        <f t="shared" si="15"/>
        <v>0</v>
      </c>
      <c r="L84" s="478" t="str">
        <f t="shared" si="16"/>
        <v/>
      </c>
      <c r="M84" s="478" t="str">
        <f t="shared" si="17"/>
        <v/>
      </c>
      <c r="N84" s="478" t="str">
        <f t="shared" si="18"/>
        <v/>
      </c>
      <c r="O84" s="542" t="s">
        <v>2190</v>
      </c>
      <c r="P84" s="542"/>
      <c r="Q84" s="542"/>
      <c r="R84" s="542"/>
      <c r="S84" s="542"/>
      <c r="T84" s="477" t="s">
        <v>2191</v>
      </c>
      <c r="U84" s="477"/>
      <c r="V84" s="477"/>
      <c r="W84" s="477"/>
      <c r="X84" s="477"/>
      <c r="Y84" s="582"/>
      <c r="Z84" s="480"/>
      <c r="AA84" s="483"/>
      <c r="AB84" s="480"/>
      <c r="AC84" s="480"/>
      <c r="AD84" s="480"/>
    </row>
    <row r="85" spans="1:30" ht="9" customHeight="1">
      <c r="A85" s="479"/>
      <c r="B85" s="518">
        <v>68</v>
      </c>
      <c r="C85" s="477"/>
      <c r="D85" s="552"/>
      <c r="E85" s="477"/>
      <c r="F85" s="477"/>
      <c r="G85" s="477"/>
      <c r="H85" s="513"/>
      <c r="I85" s="585">
        <f t="shared" si="13"/>
        <v>0</v>
      </c>
      <c r="J85" s="585">
        <f t="shared" si="14"/>
        <v>0</v>
      </c>
      <c r="K85" s="585">
        <f t="shared" si="15"/>
        <v>0</v>
      </c>
      <c r="L85" s="478" t="str">
        <f t="shared" si="16"/>
        <v/>
      </c>
      <c r="M85" s="478" t="str">
        <f t="shared" si="17"/>
        <v/>
      </c>
      <c r="N85" s="478" t="str">
        <f t="shared" si="18"/>
        <v/>
      </c>
      <c r="O85" s="542" t="s">
        <v>2080</v>
      </c>
      <c r="P85" s="542"/>
      <c r="Q85" s="542"/>
      <c r="R85" s="542"/>
      <c r="S85" s="542"/>
      <c r="T85" s="477" t="s">
        <v>2192</v>
      </c>
      <c r="U85" s="477"/>
      <c r="V85" s="477"/>
      <c r="W85" s="477"/>
      <c r="X85" s="477"/>
      <c r="Y85" s="582"/>
      <c r="Z85" s="480"/>
      <c r="AA85" s="483"/>
      <c r="AB85" s="480"/>
      <c r="AC85" s="480"/>
      <c r="AD85" s="480"/>
    </row>
    <row r="86" spans="1:30" ht="27" customHeight="1">
      <c r="A86" s="479"/>
      <c r="B86" s="518">
        <v>69</v>
      </c>
      <c r="C86" s="477"/>
      <c r="D86" s="552"/>
      <c r="E86" s="477"/>
      <c r="F86" s="477"/>
      <c r="G86" s="477"/>
      <c r="H86" s="513"/>
      <c r="I86" s="585">
        <f t="shared" si="13"/>
        <v>0</v>
      </c>
      <c r="J86" s="585">
        <f t="shared" si="14"/>
        <v>0</v>
      </c>
      <c r="K86" s="585">
        <f t="shared" si="15"/>
        <v>0</v>
      </c>
      <c r="L86" s="478" t="str">
        <f t="shared" si="16"/>
        <v/>
      </c>
      <c r="M86" s="478" t="str">
        <f t="shared" si="17"/>
        <v/>
      </c>
      <c r="N86" s="478" t="str">
        <f t="shared" si="18"/>
        <v/>
      </c>
      <c r="O86" s="542" t="s">
        <v>2193</v>
      </c>
      <c r="P86" s="542"/>
      <c r="Q86" s="542"/>
      <c r="R86" s="542"/>
      <c r="S86" s="542"/>
      <c r="T86" s="477" t="s">
        <v>2194</v>
      </c>
      <c r="U86" s="477"/>
      <c r="V86" s="477"/>
      <c r="W86" s="477"/>
      <c r="X86" s="477"/>
      <c r="Y86" s="582"/>
      <c r="Z86" s="480"/>
      <c r="AA86" s="483"/>
      <c r="AB86" s="480"/>
      <c r="AC86" s="480"/>
      <c r="AD86" s="480"/>
    </row>
    <row r="87" spans="1:30" ht="36" customHeight="1">
      <c r="A87" s="479"/>
      <c r="B87" s="518">
        <v>70</v>
      </c>
      <c r="C87" s="477" t="s">
        <v>2195</v>
      </c>
      <c r="D87" s="552"/>
      <c r="E87" s="477"/>
      <c r="F87" s="477"/>
      <c r="G87" s="477"/>
      <c r="H87" s="513"/>
      <c r="I87" s="585">
        <f t="shared" si="13"/>
        <v>0</v>
      </c>
      <c r="J87" s="585">
        <f t="shared" si="14"/>
        <v>0</v>
      </c>
      <c r="K87" s="585">
        <f t="shared" si="15"/>
        <v>0</v>
      </c>
      <c r="L87" s="478" t="str">
        <f t="shared" si="16"/>
        <v/>
      </c>
      <c r="M87" s="478" t="str">
        <f t="shared" si="17"/>
        <v/>
      </c>
      <c r="N87" s="478" t="str">
        <f t="shared" si="18"/>
        <v/>
      </c>
      <c r="O87" s="542" t="s">
        <v>148</v>
      </c>
      <c r="P87" s="542"/>
      <c r="Q87" s="542"/>
      <c r="R87" s="542"/>
      <c r="S87" s="542"/>
      <c r="T87" s="477" t="s">
        <v>2196</v>
      </c>
      <c r="U87" s="477"/>
      <c r="V87" s="477"/>
      <c r="W87" s="477"/>
      <c r="X87" s="477"/>
      <c r="Y87" s="582"/>
      <c r="Z87" s="480"/>
      <c r="AA87" s="483"/>
      <c r="AB87" s="480"/>
      <c r="AC87" s="480"/>
      <c r="AD87" s="480"/>
    </row>
    <row r="88" spans="1:30" ht="18" customHeight="1">
      <c r="A88" s="479"/>
      <c r="B88" s="518">
        <v>71</v>
      </c>
      <c r="C88" s="477" t="s">
        <v>2197</v>
      </c>
      <c r="D88" s="552"/>
      <c r="E88" s="477"/>
      <c r="F88" s="477"/>
      <c r="G88" s="477"/>
      <c r="H88" s="513"/>
      <c r="I88" s="585">
        <f t="shared" si="13"/>
        <v>0</v>
      </c>
      <c r="J88" s="585">
        <f t="shared" si="14"/>
        <v>0</v>
      </c>
      <c r="K88" s="585">
        <f t="shared" si="15"/>
        <v>0</v>
      </c>
      <c r="L88" s="478" t="str">
        <f t="shared" si="16"/>
        <v/>
      </c>
      <c r="M88" s="478" t="str">
        <f t="shared" si="17"/>
        <v/>
      </c>
      <c r="N88" s="478" t="str">
        <f t="shared" si="18"/>
        <v/>
      </c>
      <c r="O88" s="542" t="s">
        <v>149</v>
      </c>
      <c r="P88" s="542"/>
      <c r="Q88" s="542"/>
      <c r="R88" s="542"/>
      <c r="S88" s="542"/>
      <c r="T88" s="477" t="s">
        <v>665</v>
      </c>
      <c r="U88" s="477"/>
      <c r="V88" s="477"/>
      <c r="W88" s="477"/>
      <c r="X88" s="477"/>
      <c r="Y88" s="582"/>
      <c r="Z88" s="480"/>
      <c r="AA88" s="483"/>
      <c r="AB88" s="480"/>
      <c r="AC88" s="480"/>
      <c r="AD88" s="480"/>
    </row>
    <row r="89" spans="1:30" ht="18" customHeight="1">
      <c r="A89" s="479"/>
      <c r="B89" s="518">
        <v>72</v>
      </c>
      <c r="C89" s="477" t="s">
        <v>2198</v>
      </c>
      <c r="D89" s="552" t="s">
        <v>2195</v>
      </c>
      <c r="E89" s="477" t="s">
        <v>2195</v>
      </c>
      <c r="F89" s="477" t="s">
        <v>2161</v>
      </c>
      <c r="G89" s="477"/>
      <c r="H89" s="513"/>
      <c r="I89" s="585" t="str">
        <f t="shared" si="13"/>
        <v>12</v>
      </c>
      <c r="J89" s="585" t="str">
        <f t="shared" si="14"/>
        <v>Среднесписочная численность основного производственного персонала</v>
      </c>
      <c r="K89" s="585">
        <f t="shared" si="15"/>
        <v>0</v>
      </c>
      <c r="L89" s="478" t="str">
        <f t="shared" si="16"/>
        <v>12</v>
      </c>
      <c r="M89" s="478" t="str">
        <f t="shared" si="17"/>
        <v>Среднесписочная численность основного производственного персонала</v>
      </c>
      <c r="N89" s="478" t="str">
        <f t="shared" si="18"/>
        <v/>
      </c>
      <c r="O89" s="542" t="s">
        <v>150</v>
      </c>
      <c r="P89" s="542" t="s">
        <v>149</v>
      </c>
      <c r="Q89" s="542" t="s">
        <v>149</v>
      </c>
      <c r="R89" s="542" t="s">
        <v>147</v>
      </c>
      <c r="S89" s="542"/>
      <c r="T89" s="477" t="s">
        <v>673</v>
      </c>
      <c r="U89" s="477" t="s">
        <v>673</v>
      </c>
      <c r="V89" s="477" t="s">
        <v>673</v>
      </c>
      <c r="W89" s="477" t="s">
        <v>673</v>
      </c>
      <c r="X89" s="477"/>
      <c r="Y89" s="582"/>
      <c r="Z89" s="480"/>
      <c r="AA89" s="483"/>
      <c r="AB89" s="480"/>
      <c r="AC89" s="480"/>
      <c r="AD89" s="480"/>
    </row>
    <row r="90" spans="1:30" ht="27" customHeight="1">
      <c r="A90" s="479"/>
      <c r="B90" s="518">
        <v>73</v>
      </c>
      <c r="C90" s="477" t="s">
        <v>2199</v>
      </c>
      <c r="D90" s="552"/>
      <c r="E90" s="477"/>
      <c r="F90" s="477"/>
      <c r="G90" s="477"/>
      <c r="H90" s="513"/>
      <c r="I90" s="585">
        <f t="shared" si="13"/>
        <v>0</v>
      </c>
      <c r="J90" s="585">
        <f t="shared" si="14"/>
        <v>0</v>
      </c>
      <c r="K90" s="585">
        <f t="shared" si="15"/>
        <v>0</v>
      </c>
      <c r="L90" s="478" t="str">
        <f t="shared" si="16"/>
        <v/>
      </c>
      <c r="M90" s="478" t="str">
        <f t="shared" si="17"/>
        <v/>
      </c>
      <c r="N90" s="478" t="str">
        <f t="shared" si="18"/>
        <v/>
      </c>
      <c r="O90" s="542" t="s">
        <v>151</v>
      </c>
      <c r="P90" s="542"/>
      <c r="Q90" s="542"/>
      <c r="R90" s="542"/>
      <c r="S90" s="542"/>
      <c r="T90" s="477" t="s">
        <v>675</v>
      </c>
      <c r="U90" s="477"/>
      <c r="V90" s="477"/>
      <c r="W90" s="477"/>
      <c r="X90" s="477"/>
      <c r="Y90" s="582"/>
      <c r="Z90" s="480"/>
      <c r="AA90" s="483"/>
      <c r="AB90" s="480"/>
      <c r="AC90" s="480"/>
      <c r="AD90" s="480"/>
    </row>
    <row r="91" spans="1:30" ht="18" customHeight="1">
      <c r="A91" s="479"/>
      <c r="B91" s="518">
        <v>74</v>
      </c>
      <c r="C91" s="477"/>
      <c r="D91" s="552" t="s">
        <v>2197</v>
      </c>
      <c r="E91" s="477" t="s">
        <v>2197</v>
      </c>
      <c r="F91" s="477"/>
      <c r="G91" s="477"/>
      <c r="H91" s="513"/>
      <c r="I91" s="585" t="str">
        <f t="shared" si="13"/>
        <v>13</v>
      </c>
      <c r="J91" s="585" t="str">
        <f t="shared" si="14"/>
        <v>Удельный расход электрической энергии на подачу воды в сеть</v>
      </c>
      <c r="K91" s="585">
        <f t="shared" si="15"/>
        <v>0</v>
      </c>
      <c r="L91" s="478" t="str">
        <f t="shared" si="16"/>
        <v>13</v>
      </c>
      <c r="M91" s="478" t="str">
        <f t="shared" si="17"/>
        <v>Удельный расход электрической энергии на подачу воды в сеть</v>
      </c>
      <c r="N91" s="478" t="str">
        <f t="shared" si="18"/>
        <v/>
      </c>
      <c r="O91" s="542"/>
      <c r="P91" s="542" t="s">
        <v>150</v>
      </c>
      <c r="Q91" s="542" t="s">
        <v>150</v>
      </c>
      <c r="R91" s="542"/>
      <c r="S91" s="542"/>
      <c r="T91" s="477"/>
      <c r="U91" s="477" t="s">
        <v>2200</v>
      </c>
      <c r="V91" s="477" t="s">
        <v>2200</v>
      </c>
      <c r="W91" s="477"/>
      <c r="X91" s="477"/>
      <c r="Y91" s="582"/>
      <c r="Z91" s="480"/>
      <c r="AA91" s="483"/>
      <c r="AB91" s="480"/>
      <c r="AC91" s="480"/>
      <c r="AD91" s="480"/>
    </row>
    <row r="92" spans="1:30" ht="27" customHeight="1">
      <c r="A92" s="479"/>
      <c r="B92" s="518">
        <v>75</v>
      </c>
      <c r="C92" s="477"/>
      <c r="D92" s="552" t="s">
        <v>2198</v>
      </c>
      <c r="E92" s="477"/>
      <c r="F92" s="477"/>
      <c r="G92" s="477"/>
      <c r="H92" s="513"/>
      <c r="I92" s="585" t="str">
        <f t="shared" si="13"/>
        <v>14</v>
      </c>
      <c r="J92" s="585" t="str">
        <f t="shared" si="14"/>
        <v>Расход воды на собственные нужды, в том числе:</v>
      </c>
      <c r="K92" s="585" t="str">
        <f t="shared" si="15"/>
        <v>Указывается доля общего расхода воды на собственные нужны от объема отпуска воды потребителям.</v>
      </c>
      <c r="L92" s="478" t="str">
        <f t="shared" si="16"/>
        <v>14</v>
      </c>
      <c r="M92" s="478" t="str">
        <f t="shared" si="17"/>
        <v>Расход воды на собственные нужды, в том числе:</v>
      </c>
      <c r="N92" s="478" t="str">
        <f t="shared" si="18"/>
        <v>Указывается доля общего расхода воды на собственные нужны от объема отпуска воды потребителям.</v>
      </c>
      <c r="O92" s="542"/>
      <c r="P92" s="542" t="s">
        <v>151</v>
      </c>
      <c r="Q92" s="542"/>
      <c r="R92" s="542"/>
      <c r="S92" s="542"/>
      <c r="T92" s="477"/>
      <c r="U92" s="477" t="s">
        <v>2201</v>
      </c>
      <c r="V92" s="477"/>
      <c r="W92" s="477"/>
      <c r="X92" s="477"/>
      <c r="Y92" s="582"/>
      <c r="Z92" s="480"/>
      <c r="AA92" s="483" t="s">
        <v>2202</v>
      </c>
      <c r="AB92" s="480"/>
      <c r="AC92" s="480"/>
      <c r="AD92" s="480"/>
    </row>
    <row r="93" spans="1:30" ht="27" customHeight="1">
      <c r="A93" s="479"/>
      <c r="B93" s="518">
        <v>76</v>
      </c>
      <c r="C93" s="477"/>
      <c r="D93" s="552"/>
      <c r="E93" s="477"/>
      <c r="F93" s="477"/>
      <c r="G93" s="477"/>
      <c r="H93" s="513"/>
      <c r="I93" s="585" t="str">
        <f t="shared" si="13"/>
        <v>14.1</v>
      </c>
      <c r="J93" s="585" t="str">
        <f t="shared" si="14"/>
        <v>Расход воды на хозяйственно-бытовые нужды</v>
      </c>
      <c r="K93" s="585" t="str">
        <f t="shared" si="15"/>
        <v>Указывается доля расхода воды на хозяйственно-бытовые нужны от объема отпуска воды потребителям.</v>
      </c>
      <c r="L93" s="478" t="str">
        <f t="shared" si="16"/>
        <v>14.1</v>
      </c>
      <c r="M93" s="478" t="str">
        <f t="shared" si="17"/>
        <v>Расход воды на хозяйственно-бытовые нужды</v>
      </c>
      <c r="N93" s="478" t="str">
        <f t="shared" si="18"/>
        <v>Указывается доля расхода воды на хозяйственно-бытовые нужны от объема отпуска воды потребителям.</v>
      </c>
      <c r="O93" s="542"/>
      <c r="P93" s="542" t="s">
        <v>2108</v>
      </c>
      <c r="Q93" s="542"/>
      <c r="R93" s="542"/>
      <c r="S93" s="542"/>
      <c r="T93" s="477"/>
      <c r="U93" s="477" t="s">
        <v>2203</v>
      </c>
      <c r="V93" s="477"/>
      <c r="W93" s="477"/>
      <c r="X93" s="477"/>
      <c r="Y93" s="582"/>
      <c r="Z93" s="480"/>
      <c r="AA93" s="483" t="s">
        <v>2204</v>
      </c>
      <c r="AB93" s="480"/>
      <c r="AC93" s="480"/>
      <c r="AD93" s="480"/>
    </row>
    <row r="94" spans="1:30" ht="45" customHeight="1">
      <c r="A94" s="479"/>
      <c r="B94" s="518">
        <v>77</v>
      </c>
      <c r="C94" s="477"/>
      <c r="D94" s="552" t="s">
        <v>2199</v>
      </c>
      <c r="E94" s="477"/>
      <c r="F94" s="477"/>
      <c r="G94" s="477"/>
      <c r="H94" s="513"/>
      <c r="I94" s="585" t="str">
        <f t="shared" si="13"/>
        <v>15</v>
      </c>
      <c r="J94" s="585" t="str">
        <f t="shared" si="14"/>
        <v>Показатель использования производственных объектов (по объему перекачки), в том числе:</v>
      </c>
      <c r="K94" s="58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478" t="str">
        <f t="shared" si="16"/>
        <v>15</v>
      </c>
      <c r="M94" s="478" t="str">
        <f t="shared" si="17"/>
        <v>Показатель использования производственных объектов (по объему перекачки), в том числе:</v>
      </c>
      <c r="N94" s="478"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542"/>
      <c r="P94" s="542" t="s">
        <v>1463</v>
      </c>
      <c r="Q94" s="542"/>
      <c r="R94" s="542"/>
      <c r="S94" s="542"/>
      <c r="T94" s="477"/>
      <c r="U94" s="477" t="s">
        <v>2205</v>
      </c>
      <c r="V94" s="477"/>
      <c r="W94" s="477"/>
      <c r="X94" s="477"/>
      <c r="Y94" s="582"/>
      <c r="Z94" s="480"/>
      <c r="AA94" s="483" t="s">
        <v>2206</v>
      </c>
      <c r="AB94" s="480"/>
      <c r="AC94" s="480"/>
      <c r="AD94" s="480"/>
    </row>
    <row r="95" spans="1:30" ht="99" customHeight="1">
      <c r="A95" s="479"/>
      <c r="B95" s="518">
        <v>78</v>
      </c>
      <c r="C95" s="477" t="s">
        <v>2207</v>
      </c>
      <c r="D95" s="552"/>
      <c r="E95" s="477"/>
      <c r="F95" s="477"/>
      <c r="G95" s="477"/>
      <c r="H95" s="513"/>
      <c r="I95" s="585">
        <f t="shared" si="13"/>
        <v>0</v>
      </c>
      <c r="J95" s="585">
        <f t="shared" si="14"/>
        <v>0</v>
      </c>
      <c r="K95" s="585">
        <f t="shared" si="15"/>
        <v>0</v>
      </c>
      <c r="L95" s="478" t="str">
        <f t="shared" si="16"/>
        <v/>
      </c>
      <c r="M95" s="478" t="str">
        <f t="shared" si="17"/>
        <v/>
      </c>
      <c r="N95" s="478" t="str">
        <f t="shared" si="18"/>
        <v/>
      </c>
      <c r="O95" s="542" t="s">
        <v>1463</v>
      </c>
      <c r="P95" s="542"/>
      <c r="Q95" s="542"/>
      <c r="R95" s="542"/>
      <c r="S95" s="542"/>
      <c r="T95" s="477" t="s">
        <v>2208</v>
      </c>
      <c r="U95" s="477"/>
      <c r="V95" s="477"/>
      <c r="W95" s="477"/>
      <c r="X95" s="477"/>
      <c r="Y95" s="582"/>
      <c r="Z95" s="480"/>
      <c r="AA95" s="483"/>
      <c r="AB95" s="480"/>
      <c r="AC95" s="480"/>
      <c r="AD95" s="480"/>
    </row>
    <row r="96" spans="1:30" ht="99" customHeight="1">
      <c r="A96" s="479"/>
      <c r="B96" s="518">
        <v>79</v>
      </c>
      <c r="C96" s="477" t="s">
        <v>1146</v>
      </c>
      <c r="D96" s="552"/>
      <c r="E96" s="477"/>
      <c r="F96" s="477"/>
      <c r="G96" s="477"/>
      <c r="H96" s="513"/>
      <c r="I96" s="585">
        <f t="shared" si="13"/>
        <v>0</v>
      </c>
      <c r="J96" s="585">
        <f t="shared" si="14"/>
        <v>0</v>
      </c>
      <c r="K96" s="585">
        <f t="shared" si="15"/>
        <v>0</v>
      </c>
      <c r="L96" s="478" t="str">
        <f t="shared" si="16"/>
        <v/>
      </c>
      <c r="M96" s="478" t="str">
        <f t="shared" si="17"/>
        <v/>
      </c>
      <c r="N96" s="478" t="str">
        <f t="shared" si="18"/>
        <v/>
      </c>
      <c r="O96" s="542" t="s">
        <v>1469</v>
      </c>
      <c r="P96" s="542"/>
      <c r="Q96" s="542"/>
      <c r="R96" s="542"/>
      <c r="S96" s="542"/>
      <c r="T96" s="477" t="s">
        <v>2209</v>
      </c>
      <c r="U96" s="477"/>
      <c r="V96" s="477"/>
      <c r="W96" s="477"/>
      <c r="X96" s="477"/>
      <c r="Y96" s="582"/>
      <c r="Z96" s="480" t="s">
        <v>2210</v>
      </c>
      <c r="AA96" s="483"/>
      <c r="AB96" s="480"/>
      <c r="AC96" s="480"/>
      <c r="AD96" s="480"/>
    </row>
    <row r="97" spans="1:30" ht="63" customHeight="1">
      <c r="A97" s="479"/>
      <c r="B97" s="518">
        <v>80</v>
      </c>
      <c r="C97" s="477" t="s">
        <v>2211</v>
      </c>
      <c r="D97" s="552"/>
      <c r="E97" s="477"/>
      <c r="F97" s="477"/>
      <c r="G97" s="477"/>
      <c r="H97" s="513"/>
      <c r="I97" s="585">
        <f t="shared" si="13"/>
        <v>0</v>
      </c>
      <c r="J97" s="585">
        <f t="shared" si="14"/>
        <v>0</v>
      </c>
      <c r="K97" s="585">
        <f t="shared" si="15"/>
        <v>0</v>
      </c>
      <c r="L97" s="478" t="str">
        <f t="shared" si="16"/>
        <v/>
      </c>
      <c r="M97" s="478" t="str">
        <f t="shared" si="17"/>
        <v/>
      </c>
      <c r="N97" s="478" t="str">
        <f t="shared" si="18"/>
        <v/>
      </c>
      <c r="O97" s="542" t="s">
        <v>1481</v>
      </c>
      <c r="P97" s="542"/>
      <c r="Q97" s="542"/>
      <c r="R97" s="542"/>
      <c r="S97" s="542"/>
      <c r="T97" s="477" t="s">
        <v>2212</v>
      </c>
      <c r="U97" s="477"/>
      <c r="V97" s="477"/>
      <c r="W97" s="477"/>
      <c r="X97" s="477"/>
      <c r="Y97" s="582"/>
      <c r="Z97" s="480" t="s">
        <v>2213</v>
      </c>
      <c r="AA97" s="483"/>
      <c r="AB97" s="480"/>
      <c r="AC97" s="480"/>
      <c r="AD97" s="480"/>
    </row>
    <row r="98" spans="1:30" ht="63" customHeight="1">
      <c r="A98" s="479"/>
      <c r="B98" s="518">
        <v>81</v>
      </c>
      <c r="C98" s="477" t="s">
        <v>2214</v>
      </c>
      <c r="D98" s="552"/>
      <c r="E98" s="477"/>
      <c r="F98" s="477"/>
      <c r="G98" s="477"/>
      <c r="H98" s="513"/>
      <c r="I98" s="585">
        <f t="shared" si="13"/>
        <v>0</v>
      </c>
      <c r="J98" s="585">
        <f t="shared" si="14"/>
        <v>0</v>
      </c>
      <c r="K98" s="585">
        <f t="shared" si="15"/>
        <v>0</v>
      </c>
      <c r="L98" s="478" t="str">
        <f t="shared" si="16"/>
        <v/>
      </c>
      <c r="M98" s="478" t="str">
        <f t="shared" si="17"/>
        <v/>
      </c>
      <c r="N98" s="478" t="str">
        <f t="shared" si="18"/>
        <v/>
      </c>
      <c r="O98" s="542" t="s">
        <v>97</v>
      </c>
      <c r="P98" s="542"/>
      <c r="Q98" s="542"/>
      <c r="R98" s="542"/>
      <c r="S98" s="542"/>
      <c r="T98" s="477" t="s">
        <v>2215</v>
      </c>
      <c r="U98" s="477"/>
      <c r="V98" s="477"/>
      <c r="W98" s="477"/>
      <c r="X98" s="477"/>
      <c r="Y98" s="582"/>
      <c r="Z98" s="480" t="s">
        <v>2213</v>
      </c>
      <c r="AA98" s="483"/>
      <c r="AB98" s="480"/>
      <c r="AC98" s="480"/>
      <c r="AD98" s="480"/>
    </row>
    <row r="99" spans="1:30" ht="90" customHeight="1">
      <c r="A99" s="479"/>
      <c r="B99" s="518">
        <v>82</v>
      </c>
      <c r="C99" s="477" t="s">
        <v>2216</v>
      </c>
      <c r="D99" s="552"/>
      <c r="E99" s="477"/>
      <c r="F99" s="477"/>
      <c r="G99" s="477"/>
      <c r="H99" s="513"/>
      <c r="I99" s="585">
        <f t="shared" si="13"/>
        <v>0</v>
      </c>
      <c r="J99" s="585">
        <f t="shared" si="14"/>
        <v>0</v>
      </c>
      <c r="K99" s="585">
        <f t="shared" si="15"/>
        <v>0</v>
      </c>
      <c r="L99" s="478" t="str">
        <f t="shared" si="16"/>
        <v/>
      </c>
      <c r="M99" s="478" t="str">
        <f t="shared" si="17"/>
        <v/>
      </c>
      <c r="N99" s="478" t="str">
        <f t="shared" si="18"/>
        <v/>
      </c>
      <c r="O99" s="542" t="s">
        <v>1506</v>
      </c>
      <c r="P99" s="542"/>
      <c r="Q99" s="542"/>
      <c r="R99" s="542"/>
      <c r="S99" s="542"/>
      <c r="T99" s="477" t="s">
        <v>2217</v>
      </c>
      <c r="U99" s="477"/>
      <c r="V99" s="477"/>
      <c r="W99" s="477"/>
      <c r="X99" s="477"/>
      <c r="Y99" s="582"/>
      <c r="Z99" s="480" t="s">
        <v>630</v>
      </c>
      <c r="AA99" s="483"/>
      <c r="AB99" s="480"/>
      <c r="AC99" s="480"/>
      <c r="AD99" s="480"/>
    </row>
    <row r="100" spans="1:30" ht="27" customHeight="1">
      <c r="A100" s="479"/>
      <c r="B100" s="518">
        <v>83</v>
      </c>
      <c r="C100" s="477"/>
      <c r="D100" s="552"/>
      <c r="E100" s="477"/>
      <c r="F100" s="477"/>
      <c r="G100" s="477"/>
      <c r="H100" s="513"/>
      <c r="I100" s="585">
        <f t="shared" si="13"/>
        <v>0</v>
      </c>
      <c r="J100" s="585">
        <f t="shared" si="14"/>
        <v>0</v>
      </c>
      <c r="K100" s="585">
        <f t="shared" si="15"/>
        <v>0</v>
      </c>
      <c r="L100" s="478" t="str">
        <f t="shared" si="16"/>
        <v/>
      </c>
      <c r="M100" s="478" t="str">
        <f t="shared" si="17"/>
        <v/>
      </c>
      <c r="N100" s="478" t="str">
        <f t="shared" si="18"/>
        <v/>
      </c>
      <c r="O100" s="542" t="s">
        <v>2218</v>
      </c>
      <c r="P100" s="542"/>
      <c r="Q100" s="542"/>
      <c r="R100" s="542"/>
      <c r="S100" s="542"/>
      <c r="T100" s="477" t="s">
        <v>2219</v>
      </c>
      <c r="U100" s="477"/>
      <c r="V100" s="477"/>
      <c r="W100" s="477"/>
      <c r="X100" s="477"/>
      <c r="Y100" s="582"/>
      <c r="Z100" s="480" t="s">
        <v>630</v>
      </c>
      <c r="AA100" s="483"/>
      <c r="AB100" s="480"/>
      <c r="AC100" s="480"/>
      <c r="AD100" s="480"/>
    </row>
    <row r="101" spans="1:30" ht="27" customHeight="1">
      <c r="A101" s="479"/>
      <c r="B101" s="518">
        <v>84</v>
      </c>
      <c r="C101" s="477"/>
      <c r="D101" s="552"/>
      <c r="E101" s="477"/>
      <c r="F101" s="477"/>
      <c r="G101" s="477"/>
      <c r="H101" s="513"/>
      <c r="I101" s="585">
        <f t="shared" si="13"/>
        <v>0</v>
      </c>
      <c r="J101" s="585">
        <f t="shared" si="14"/>
        <v>0</v>
      </c>
      <c r="K101" s="585">
        <f t="shared" si="15"/>
        <v>0</v>
      </c>
      <c r="L101" s="478" t="str">
        <f t="shared" si="16"/>
        <v/>
      </c>
      <c r="M101" s="478" t="str">
        <f t="shared" si="17"/>
        <v/>
      </c>
      <c r="N101" s="478" t="str">
        <f t="shared" si="18"/>
        <v/>
      </c>
      <c r="O101" s="542" t="s">
        <v>2220</v>
      </c>
      <c r="P101" s="542"/>
      <c r="Q101" s="542"/>
      <c r="R101" s="542"/>
      <c r="S101" s="542"/>
      <c r="T101" s="477" t="s">
        <v>2221</v>
      </c>
      <c r="U101" s="477"/>
      <c r="V101" s="477"/>
      <c r="W101" s="477"/>
      <c r="X101" s="477"/>
      <c r="Y101" s="582"/>
      <c r="Z101" s="480" t="s">
        <v>630</v>
      </c>
      <c r="AA101" s="483"/>
      <c r="AB101" s="480"/>
      <c r="AC101" s="480"/>
      <c r="AD101" s="480"/>
    </row>
    <row r="102" spans="1:30" ht="9" customHeight="1">
      <c r="A102" s="479"/>
      <c r="B102" s="479"/>
      <c r="C102" s="477"/>
      <c r="D102" s="477"/>
      <c r="E102" s="477"/>
      <c r="F102" s="477"/>
      <c r="G102" s="477"/>
      <c r="H102" s="513"/>
      <c r="I102" s="513"/>
      <c r="J102" s="513"/>
      <c r="K102" s="513"/>
      <c r="L102" s="513"/>
      <c r="M102" s="477"/>
      <c r="N102" s="512"/>
      <c r="O102" s="542"/>
      <c r="P102" s="542"/>
      <c r="Q102" s="542"/>
      <c r="R102" s="542"/>
      <c r="S102" s="477"/>
      <c r="T102" s="477"/>
      <c r="U102" s="477"/>
      <c r="V102" s="477"/>
      <c r="W102" s="477"/>
      <c r="X102" s="477"/>
      <c r="Y102" s="582"/>
      <c r="Z102" s="480"/>
      <c r="AA102" s="483"/>
      <c r="AB102" s="480"/>
      <c r="AC102" s="480"/>
      <c r="AD102" s="480"/>
    </row>
    <row r="103" spans="1:30" ht="9" customHeight="1">
      <c r="A103" s="479"/>
      <c r="B103" s="479"/>
      <c r="C103" s="477"/>
      <c r="D103" s="477"/>
      <c r="E103" s="477"/>
      <c r="F103" s="477"/>
      <c r="G103" s="477"/>
      <c r="H103" s="513"/>
      <c r="I103" s="513"/>
      <c r="J103" s="513"/>
      <c r="K103" s="513"/>
      <c r="L103" s="513"/>
      <c r="M103" s="477"/>
      <c r="N103" s="512"/>
      <c r="O103" s="542"/>
      <c r="P103" s="542"/>
      <c r="Q103" s="542"/>
      <c r="R103" s="542"/>
      <c r="S103" s="477"/>
      <c r="T103" s="477"/>
      <c r="U103" s="477"/>
      <c r="V103" s="477"/>
      <c r="W103" s="477"/>
      <c r="X103" s="477"/>
      <c r="Y103" s="582"/>
      <c r="Z103" s="480"/>
      <c r="AA103" s="483"/>
      <c r="AB103" s="480"/>
      <c r="AC103" s="480"/>
      <c r="AD103" s="480"/>
    </row>
    <row r="104" spans="1:30" ht="9" customHeight="1">
      <c r="A104" s="479"/>
      <c r="B104" s="479"/>
      <c r="C104" s="477"/>
      <c r="D104" s="477"/>
      <c r="E104" s="477"/>
      <c r="F104" s="477"/>
      <c r="G104" s="477"/>
      <c r="H104" s="513"/>
      <c r="I104" s="513"/>
      <c r="J104" s="513"/>
      <c r="K104" s="513"/>
      <c r="L104" s="513"/>
      <c r="M104" s="477"/>
      <c r="N104" s="512"/>
      <c r="O104" s="542"/>
      <c r="P104" s="542"/>
      <c r="Q104" s="542"/>
      <c r="R104" s="542"/>
      <c r="S104" s="477"/>
      <c r="T104" s="477"/>
      <c r="U104" s="477"/>
      <c r="V104" s="477"/>
      <c r="W104" s="477"/>
      <c r="X104" s="477"/>
      <c r="Y104" s="582"/>
      <c r="Z104" s="480"/>
      <c r="AA104" s="483"/>
      <c r="AB104" s="480"/>
      <c r="AC104" s="480"/>
      <c r="AD104" s="480"/>
    </row>
    <row r="105" spans="1:30" ht="9" customHeight="1">
      <c r="A105" s="479"/>
      <c r="B105" s="479"/>
      <c r="C105" s="477"/>
      <c r="D105" s="477"/>
      <c r="E105" s="477"/>
      <c r="F105" s="477"/>
      <c r="G105" s="477"/>
      <c r="H105" s="513"/>
      <c r="I105" s="513"/>
      <c r="J105" s="513"/>
      <c r="K105" s="513"/>
      <c r="L105" s="513"/>
      <c r="M105" s="477"/>
      <c r="N105" s="512"/>
      <c r="O105" s="542"/>
      <c r="P105" s="542"/>
      <c r="Q105" s="542"/>
      <c r="R105" s="542"/>
      <c r="S105" s="477"/>
      <c r="T105" s="477"/>
      <c r="U105" s="477"/>
      <c r="V105" s="477"/>
      <c r="W105" s="477"/>
      <c r="X105" s="477"/>
      <c r="Y105" s="582"/>
      <c r="Z105" s="480"/>
      <c r="AA105" s="483"/>
      <c r="AB105" s="480"/>
      <c r="AC105" s="480"/>
      <c r="AD105" s="480"/>
    </row>
    <row r="106" spans="1:30" ht="9" customHeight="1">
      <c r="A106" s="479"/>
      <c r="B106" s="479"/>
      <c r="C106" s="477"/>
      <c r="D106" s="477"/>
      <c r="E106" s="477"/>
      <c r="F106" s="477"/>
      <c r="G106" s="477"/>
      <c r="H106" s="513"/>
      <c r="I106" s="513"/>
      <c r="J106" s="513"/>
      <c r="K106" s="513"/>
      <c r="L106" s="513"/>
      <c r="M106" s="477"/>
      <c r="N106" s="512"/>
      <c r="O106" s="542"/>
      <c r="P106" s="542"/>
      <c r="Q106" s="542"/>
      <c r="R106" s="542"/>
      <c r="S106" s="477"/>
      <c r="T106" s="477"/>
      <c r="U106" s="477"/>
      <c r="V106" s="477"/>
      <c r="W106" s="477"/>
      <c r="X106" s="477"/>
      <c r="Y106" s="582"/>
      <c r="Z106" s="480"/>
      <c r="AA106" s="483"/>
      <c r="AB106" s="480"/>
      <c r="AC106" s="480"/>
      <c r="AD106" s="480"/>
    </row>
    <row r="107" spans="1:30" ht="9" customHeight="1">
      <c r="A107" s="479"/>
      <c r="B107" s="479"/>
      <c r="C107" s="477"/>
      <c r="D107" s="477"/>
      <c r="E107" s="477"/>
      <c r="F107" s="477"/>
      <c r="G107" s="477"/>
      <c r="H107" s="513"/>
      <c r="I107" s="513"/>
      <c r="J107" s="513"/>
      <c r="K107" s="513"/>
      <c r="L107" s="513"/>
      <c r="M107" s="477"/>
      <c r="N107" s="512"/>
      <c r="O107" s="542"/>
      <c r="P107" s="542"/>
      <c r="Q107" s="542"/>
      <c r="R107" s="542"/>
      <c r="S107" s="477"/>
      <c r="T107" s="477"/>
      <c r="U107" s="477"/>
      <c r="V107" s="477"/>
      <c r="W107" s="477"/>
      <c r="X107" s="477"/>
      <c r="Y107" s="582"/>
      <c r="Z107" s="480"/>
      <c r="AA107" s="483"/>
      <c r="AB107" s="480"/>
      <c r="AC107" s="480"/>
      <c r="AD107" s="480"/>
    </row>
    <row r="108" spans="1:30" ht="9" customHeight="1">
      <c r="A108" s="479"/>
      <c r="B108" s="479"/>
      <c r="C108" s="477"/>
      <c r="D108" s="477"/>
      <c r="E108" s="477"/>
      <c r="F108" s="477"/>
      <c r="G108" s="477"/>
      <c r="H108" s="513"/>
      <c r="I108" s="513"/>
      <c r="J108" s="513"/>
      <c r="K108" s="513"/>
      <c r="L108" s="513"/>
      <c r="M108" s="477"/>
      <c r="N108" s="512"/>
      <c r="O108" s="542"/>
      <c r="P108" s="542"/>
      <c r="Q108" s="542"/>
      <c r="R108" s="542"/>
      <c r="S108" s="477"/>
      <c r="T108" s="477"/>
      <c r="U108" s="477"/>
      <c r="V108" s="477"/>
      <c r="W108" s="477"/>
      <c r="X108" s="477"/>
      <c r="Y108" s="582"/>
      <c r="Z108" s="480"/>
      <c r="AA108" s="483"/>
      <c r="AB108" s="480"/>
      <c r="AC108" s="480"/>
      <c r="AD108" s="480"/>
    </row>
    <row r="109" spans="1:30" ht="9" customHeight="1">
      <c r="A109" s="479"/>
      <c r="B109" s="479"/>
      <c r="C109" s="477"/>
      <c r="D109" s="477"/>
      <c r="E109" s="477"/>
      <c r="F109" s="477"/>
      <c r="G109" s="477"/>
      <c r="H109" s="513"/>
      <c r="I109" s="513"/>
      <c r="J109" s="513"/>
      <c r="K109" s="513"/>
      <c r="L109" s="513"/>
      <c r="M109" s="477"/>
      <c r="N109" s="512"/>
      <c r="O109" s="542"/>
      <c r="P109" s="542"/>
      <c r="Q109" s="542"/>
      <c r="R109" s="542"/>
      <c r="S109" s="477"/>
      <c r="T109" s="477"/>
      <c r="U109" s="477"/>
      <c r="V109" s="477"/>
      <c r="W109" s="477"/>
      <c r="X109" s="477"/>
      <c r="Y109" s="582"/>
      <c r="Z109" s="480"/>
      <c r="AA109" s="483"/>
      <c r="AB109" s="480"/>
      <c r="AC109" s="480"/>
      <c r="AD109" s="480"/>
    </row>
    <row r="110" spans="1:30" ht="9" customHeight="1">
      <c r="A110" s="479"/>
      <c r="B110" s="479"/>
      <c r="C110" s="477"/>
      <c r="D110" s="477"/>
      <c r="E110" s="477"/>
      <c r="F110" s="477"/>
      <c r="G110" s="477"/>
      <c r="H110" s="513"/>
      <c r="I110" s="513"/>
      <c r="J110" s="513"/>
      <c r="K110" s="513"/>
      <c r="L110" s="513"/>
      <c r="M110" s="477"/>
      <c r="N110" s="512"/>
      <c r="O110" s="542"/>
      <c r="P110" s="542"/>
      <c r="Q110" s="542"/>
      <c r="R110" s="542"/>
      <c r="S110" s="477"/>
      <c r="T110" s="477"/>
      <c r="U110" s="477"/>
      <c r="V110" s="477"/>
      <c r="W110" s="477"/>
      <c r="X110" s="477"/>
      <c r="Y110" s="582"/>
      <c r="Z110" s="480"/>
      <c r="AA110" s="483"/>
      <c r="AB110" s="480"/>
      <c r="AC110" s="480"/>
      <c r="AD110" s="480"/>
    </row>
    <row r="111" spans="1:30" ht="9" customHeight="1">
      <c r="A111" s="479"/>
      <c r="B111" s="479"/>
      <c r="C111" s="477"/>
      <c r="D111" s="477"/>
      <c r="E111" s="477"/>
      <c r="F111" s="477"/>
      <c r="G111" s="477"/>
      <c r="H111" s="513"/>
      <c r="I111" s="513"/>
      <c r="J111" s="513"/>
      <c r="K111" s="513"/>
      <c r="L111" s="513"/>
      <c r="M111" s="477"/>
      <c r="N111" s="512"/>
      <c r="O111" s="542"/>
      <c r="P111" s="542"/>
      <c r="Q111" s="542"/>
      <c r="R111" s="542"/>
      <c r="S111" s="477"/>
      <c r="T111" s="477"/>
      <c r="U111" s="477"/>
      <c r="V111" s="477"/>
      <c r="W111" s="477"/>
      <c r="X111" s="477"/>
      <c r="Y111" s="582"/>
      <c r="Z111" s="480"/>
      <c r="AA111" s="483"/>
      <c r="AB111" s="480"/>
      <c r="AC111" s="480"/>
      <c r="AD111" s="480"/>
    </row>
    <row r="112" spans="1:30" ht="9" customHeight="1">
      <c r="A112" s="479"/>
      <c r="B112" s="479"/>
      <c r="C112" s="477"/>
      <c r="D112" s="477"/>
      <c r="E112" s="477"/>
      <c r="F112" s="477"/>
      <c r="G112" s="477"/>
      <c r="H112" s="513"/>
      <c r="I112" s="513"/>
      <c r="J112" s="513"/>
      <c r="K112" s="513"/>
      <c r="L112" s="513"/>
      <c r="M112" s="477"/>
      <c r="N112" s="512"/>
      <c r="O112" s="542"/>
      <c r="P112" s="542"/>
      <c r="Q112" s="542"/>
      <c r="R112" s="542"/>
      <c r="S112" s="477"/>
      <c r="T112" s="477"/>
      <c r="U112" s="477"/>
      <c r="V112" s="477"/>
      <c r="W112" s="477"/>
      <c r="X112" s="477"/>
      <c r="Y112" s="582"/>
      <c r="Z112" s="480"/>
      <c r="AA112" s="483"/>
      <c r="AB112" s="480"/>
      <c r="AC112" s="480"/>
      <c r="AD112" s="480"/>
    </row>
    <row r="113" spans="1:30" ht="9" customHeight="1">
      <c r="A113" s="479"/>
      <c r="B113" s="479"/>
      <c r="C113" s="477"/>
      <c r="D113" s="477"/>
      <c r="E113" s="477"/>
      <c r="F113" s="477"/>
      <c r="G113" s="477"/>
      <c r="H113" s="513"/>
      <c r="I113" s="513"/>
      <c r="J113" s="513"/>
      <c r="K113" s="513"/>
      <c r="L113" s="513"/>
      <c r="M113" s="477"/>
      <c r="N113" s="512"/>
      <c r="O113" s="542"/>
      <c r="P113" s="542"/>
      <c r="Q113" s="542"/>
      <c r="R113" s="542"/>
      <c r="S113" s="477"/>
      <c r="T113" s="477"/>
      <c r="U113" s="477"/>
      <c r="V113" s="477"/>
      <c r="W113" s="477"/>
      <c r="X113" s="477"/>
      <c r="Y113" s="582"/>
      <c r="Z113" s="480"/>
      <c r="AA113" s="483"/>
      <c r="AB113" s="480"/>
      <c r="AC113" s="480"/>
      <c r="AD113" s="480"/>
    </row>
    <row r="114" spans="1:30" ht="9" customHeight="1">
      <c r="A114" s="479"/>
      <c r="B114" s="479"/>
      <c r="C114" s="477"/>
      <c r="D114" s="477"/>
      <c r="E114" s="477"/>
      <c r="F114" s="477"/>
      <c r="G114" s="477"/>
      <c r="H114" s="513"/>
      <c r="I114" s="513"/>
      <c r="J114" s="513"/>
      <c r="K114" s="513"/>
      <c r="L114" s="513"/>
      <c r="M114" s="477"/>
      <c r="N114" s="512"/>
      <c r="O114" s="542"/>
      <c r="P114" s="542"/>
      <c r="Q114" s="542"/>
      <c r="R114" s="542"/>
      <c r="S114" s="477"/>
      <c r="T114" s="477"/>
      <c r="U114" s="477"/>
      <c r="V114" s="477"/>
      <c r="W114" s="477"/>
      <c r="X114" s="477"/>
      <c r="Y114" s="582"/>
      <c r="Z114" s="480"/>
      <c r="AA114" s="483"/>
      <c r="AB114" s="480"/>
      <c r="AC114" s="480"/>
      <c r="AD114" s="480"/>
    </row>
    <row r="115" spans="1:30" ht="9" customHeight="1">
      <c r="A115" s="479"/>
      <c r="B115" s="479"/>
      <c r="C115" s="477"/>
      <c r="D115" s="477"/>
      <c r="E115" s="477"/>
      <c r="F115" s="477"/>
      <c r="G115" s="477"/>
      <c r="H115" s="513"/>
      <c r="I115" s="513"/>
      <c r="J115" s="513"/>
      <c r="K115" s="513"/>
      <c r="L115" s="513"/>
      <c r="M115" s="477"/>
      <c r="N115" s="512"/>
      <c r="O115" s="542"/>
      <c r="P115" s="542"/>
      <c r="Q115" s="542"/>
      <c r="R115" s="542"/>
      <c r="S115" s="477"/>
      <c r="T115" s="477"/>
      <c r="U115" s="477"/>
      <c r="V115" s="477"/>
      <c r="W115" s="477"/>
      <c r="X115" s="477"/>
      <c r="Y115" s="582"/>
      <c r="Z115" s="480"/>
      <c r="AA115" s="483"/>
      <c r="AB115" s="480"/>
      <c r="AC115" s="480"/>
      <c r="AD115" s="480"/>
    </row>
    <row r="116" spans="1:30" ht="9" customHeight="1">
      <c r="A116" s="479"/>
      <c r="B116" s="479"/>
      <c r="C116" s="477"/>
      <c r="D116" s="477"/>
      <c r="E116" s="477"/>
      <c r="F116" s="477"/>
      <c r="G116" s="477"/>
      <c r="H116" s="513"/>
      <c r="I116" s="513"/>
      <c r="J116" s="513"/>
      <c r="K116" s="513"/>
      <c r="L116" s="513"/>
      <c r="M116" s="477"/>
      <c r="N116" s="512"/>
      <c r="O116" s="542"/>
      <c r="P116" s="542"/>
      <c r="Q116" s="542"/>
      <c r="R116" s="542"/>
      <c r="S116" s="477"/>
      <c r="T116" s="477"/>
      <c r="U116" s="477"/>
      <c r="V116" s="477"/>
      <c r="W116" s="477"/>
      <c r="X116" s="477"/>
      <c r="Y116" s="582"/>
      <c r="Z116" s="480"/>
      <c r="AA116" s="483"/>
      <c r="AB116" s="480"/>
      <c r="AC116" s="480"/>
      <c r="AD116" s="480"/>
    </row>
    <row r="117" spans="1:30" ht="9" customHeight="1">
      <c r="A117" s="479"/>
      <c r="B117" s="479"/>
      <c r="C117" s="477"/>
      <c r="D117" s="477"/>
      <c r="E117" s="477"/>
      <c r="F117" s="477"/>
      <c r="G117" s="477"/>
      <c r="H117" s="513"/>
      <c r="I117" s="513"/>
      <c r="J117" s="513"/>
      <c r="K117" s="513"/>
      <c r="L117" s="513"/>
      <c r="M117" s="477"/>
      <c r="N117" s="512"/>
      <c r="O117" s="542"/>
      <c r="P117" s="542"/>
      <c r="Q117" s="542"/>
      <c r="R117" s="542"/>
      <c r="S117" s="477"/>
      <c r="T117" s="477"/>
      <c r="U117" s="477"/>
      <c r="V117" s="477"/>
      <c r="W117" s="477"/>
      <c r="X117" s="477"/>
      <c r="Y117" s="582"/>
      <c r="Z117" s="480"/>
      <c r="AA117" s="483"/>
      <c r="AB117" s="480"/>
      <c r="AC117" s="480"/>
      <c r="AD117" s="480"/>
    </row>
    <row r="118" spans="1:30" ht="9" customHeight="1">
      <c r="A118" s="479"/>
      <c r="B118" s="479"/>
      <c r="C118" s="477"/>
      <c r="D118" s="477"/>
      <c r="E118" s="477"/>
      <c r="F118" s="477"/>
      <c r="G118" s="477"/>
      <c r="H118" s="513"/>
      <c r="I118" s="513"/>
      <c r="J118" s="513"/>
      <c r="K118" s="513"/>
      <c r="L118" s="513"/>
      <c r="M118" s="477"/>
      <c r="N118" s="512"/>
      <c r="O118" s="542"/>
      <c r="P118" s="542"/>
      <c r="Q118" s="542"/>
      <c r="R118" s="542"/>
      <c r="S118" s="477"/>
      <c r="T118" s="477"/>
      <c r="U118" s="477"/>
      <c r="V118" s="477"/>
      <c r="W118" s="477"/>
      <c r="X118" s="477"/>
      <c r="Y118" s="582"/>
      <c r="Z118" s="480"/>
      <c r="AA118" s="483"/>
      <c r="AB118" s="480"/>
      <c r="AC118" s="480"/>
      <c r="AD118" s="480"/>
    </row>
    <row r="119" spans="1:30" ht="9" customHeight="1">
      <c r="A119" s="479"/>
      <c r="B119" s="479"/>
      <c r="C119" s="477"/>
      <c r="D119" s="477"/>
      <c r="E119" s="477"/>
      <c r="F119" s="477"/>
      <c r="G119" s="477"/>
      <c r="H119" s="513"/>
      <c r="I119" s="513"/>
      <c r="J119" s="513"/>
      <c r="K119" s="513"/>
      <c r="L119" s="513"/>
      <c r="M119" s="477"/>
      <c r="N119" s="512"/>
      <c r="O119" s="542"/>
      <c r="P119" s="542"/>
      <c r="Q119" s="542"/>
      <c r="R119" s="542"/>
      <c r="S119" s="477"/>
      <c r="T119" s="477"/>
      <c r="U119" s="477"/>
      <c r="V119" s="477"/>
      <c r="W119" s="477"/>
      <c r="X119" s="477"/>
      <c r="Y119" s="582"/>
      <c r="Z119" s="480"/>
      <c r="AA119" s="483"/>
      <c r="AB119" s="480"/>
      <c r="AC119" s="480"/>
      <c r="AD119" s="480"/>
    </row>
    <row r="120" spans="1:30" ht="9" customHeight="1">
      <c r="A120" s="479"/>
      <c r="B120" s="479"/>
      <c r="C120" s="477"/>
      <c r="D120" s="477"/>
      <c r="E120" s="477"/>
      <c r="F120" s="477"/>
      <c r="G120" s="477"/>
      <c r="H120" s="513"/>
      <c r="I120" s="513"/>
      <c r="J120" s="513"/>
      <c r="K120" s="513"/>
      <c r="L120" s="513"/>
      <c r="M120" s="477"/>
      <c r="N120" s="512"/>
      <c r="O120" s="542"/>
      <c r="P120" s="542"/>
      <c r="Q120" s="542"/>
      <c r="R120" s="542"/>
      <c r="S120" s="477"/>
      <c r="T120" s="477"/>
      <c r="U120" s="477"/>
      <c r="V120" s="477"/>
      <c r="W120" s="477"/>
      <c r="X120" s="477"/>
      <c r="Y120" s="582"/>
      <c r="Z120" s="480"/>
      <c r="AA120" s="483"/>
      <c r="AB120" s="480"/>
      <c r="AC120" s="480"/>
      <c r="AD120" s="480"/>
    </row>
    <row r="121" spans="1:30" ht="9" customHeight="1">
      <c r="A121" s="479"/>
      <c r="B121" s="479"/>
      <c r="C121" s="477"/>
      <c r="D121" s="477"/>
      <c r="E121" s="477"/>
      <c r="F121" s="477"/>
      <c r="G121" s="477"/>
      <c r="H121" s="513"/>
      <c r="I121" s="513"/>
      <c r="J121" s="513"/>
      <c r="K121" s="513"/>
      <c r="L121" s="513"/>
      <c r="M121" s="477"/>
      <c r="N121" s="512"/>
      <c r="O121" s="542"/>
      <c r="P121" s="542"/>
      <c r="Q121" s="542"/>
      <c r="R121" s="542"/>
      <c r="S121" s="477"/>
      <c r="T121" s="477"/>
      <c r="U121" s="477"/>
      <c r="V121" s="477"/>
      <c r="W121" s="477"/>
      <c r="X121" s="477"/>
      <c r="Y121" s="582"/>
      <c r="Z121" s="480"/>
      <c r="AA121" s="483"/>
      <c r="AB121" s="480"/>
      <c r="AC121" s="480"/>
      <c r="AD121" s="480"/>
    </row>
    <row r="122" spans="1:30" ht="9" customHeight="1">
      <c r="A122" s="479"/>
      <c r="B122" s="479"/>
      <c r="C122" s="477"/>
      <c r="D122" s="477"/>
      <c r="E122" s="477"/>
      <c r="F122" s="477"/>
      <c r="G122" s="477"/>
      <c r="H122" s="513"/>
      <c r="I122" s="513"/>
      <c r="J122" s="513"/>
      <c r="K122" s="513"/>
      <c r="L122" s="513"/>
      <c r="M122" s="477"/>
      <c r="N122" s="512"/>
      <c r="O122" s="542"/>
      <c r="P122" s="542"/>
      <c r="Q122" s="542"/>
      <c r="R122" s="542"/>
      <c r="S122" s="477"/>
      <c r="T122" s="477"/>
      <c r="U122" s="477"/>
      <c r="V122" s="477"/>
      <c r="W122" s="477"/>
      <c r="X122" s="477"/>
      <c r="Y122" s="582"/>
      <c r="Z122" s="480"/>
      <c r="AA122" s="483"/>
      <c r="AB122" s="480"/>
      <c r="AC122" s="480"/>
      <c r="AD122" s="480"/>
    </row>
    <row r="123" spans="1:30" ht="9" customHeight="1">
      <c r="A123" s="479"/>
      <c r="B123" s="479"/>
      <c r="C123" s="477"/>
      <c r="D123" s="477"/>
      <c r="E123" s="477"/>
      <c r="F123" s="477"/>
      <c r="G123" s="477"/>
      <c r="H123" s="513"/>
      <c r="I123" s="513"/>
      <c r="J123" s="513"/>
      <c r="K123" s="513"/>
      <c r="L123" s="513"/>
      <c r="M123" s="477"/>
      <c r="N123" s="512"/>
      <c r="O123" s="542"/>
      <c r="P123" s="542"/>
      <c r="Q123" s="542"/>
      <c r="R123" s="542"/>
      <c r="S123" s="477"/>
      <c r="T123" s="477"/>
      <c r="U123" s="477"/>
      <c r="V123" s="477"/>
      <c r="W123" s="477"/>
      <c r="X123" s="477"/>
      <c r="Y123" s="582"/>
      <c r="Z123" s="480"/>
      <c r="AA123" s="483"/>
      <c r="AB123" s="480"/>
      <c r="AC123" s="480"/>
      <c r="AD123" s="480"/>
    </row>
    <row r="124" spans="1:30" ht="9" customHeight="1">
      <c r="A124" s="479"/>
      <c r="B124" s="479"/>
      <c r="C124" s="477"/>
      <c r="D124" s="477"/>
      <c r="E124" s="477"/>
      <c r="F124" s="477"/>
      <c r="G124" s="477"/>
      <c r="H124" s="513"/>
      <c r="I124" s="513"/>
      <c r="J124" s="513"/>
      <c r="K124" s="513"/>
      <c r="L124" s="513"/>
      <c r="M124" s="477"/>
      <c r="N124" s="512"/>
      <c r="O124" s="542"/>
      <c r="P124" s="542"/>
      <c r="Q124" s="542"/>
      <c r="R124" s="542"/>
      <c r="S124" s="477"/>
      <c r="T124" s="477"/>
      <c r="U124" s="477"/>
      <c r="V124" s="477"/>
      <c r="W124" s="477"/>
      <c r="X124" s="477"/>
      <c r="Y124" s="582"/>
      <c r="Z124" s="480"/>
      <c r="AA124" s="483"/>
      <c r="AB124" s="480"/>
      <c r="AC124" s="480"/>
      <c r="AD124" s="480"/>
    </row>
    <row r="125" spans="1:30" ht="9" customHeight="1">
      <c r="A125" s="479"/>
      <c r="B125" s="479"/>
      <c r="C125" s="477"/>
      <c r="D125" s="477"/>
      <c r="E125" s="477"/>
      <c r="F125" s="477"/>
      <c r="G125" s="477"/>
      <c r="H125" s="513"/>
      <c r="I125" s="513"/>
      <c r="J125" s="513"/>
      <c r="K125" s="513"/>
      <c r="L125" s="513"/>
      <c r="M125" s="477"/>
      <c r="N125" s="512"/>
      <c r="O125" s="542"/>
      <c r="P125" s="542"/>
      <c r="Q125" s="542"/>
      <c r="R125" s="542"/>
      <c r="S125" s="477"/>
      <c r="T125" s="477"/>
      <c r="U125" s="477"/>
      <c r="V125" s="477"/>
      <c r="W125" s="477"/>
      <c r="X125" s="477"/>
      <c r="Y125" s="582"/>
      <c r="Z125" s="480"/>
      <c r="AA125" s="483"/>
      <c r="AB125" s="480"/>
      <c r="AC125" s="480"/>
      <c r="AD125" s="480"/>
    </row>
    <row r="126" spans="1:30" ht="9" customHeight="1">
      <c r="A126" s="479"/>
      <c r="B126" s="479"/>
      <c r="C126" s="477"/>
      <c r="D126" s="477"/>
      <c r="E126" s="477"/>
      <c r="F126" s="477"/>
      <c r="G126" s="477"/>
      <c r="H126" s="513"/>
      <c r="I126" s="513"/>
      <c r="J126" s="513"/>
      <c r="K126" s="513"/>
      <c r="L126" s="513"/>
      <c r="M126" s="477"/>
      <c r="N126" s="512"/>
      <c r="O126" s="542"/>
      <c r="P126" s="542"/>
      <c r="Q126" s="542"/>
      <c r="R126" s="542"/>
      <c r="S126" s="477"/>
      <c r="T126" s="477"/>
      <c r="U126" s="477"/>
      <c r="V126" s="477"/>
      <c r="W126" s="477"/>
      <c r="X126" s="477"/>
      <c r="Y126" s="582"/>
      <c r="Z126" s="480"/>
      <c r="AA126" s="483"/>
      <c r="AB126" s="480"/>
      <c r="AC126" s="480"/>
      <c r="AD126" s="480"/>
    </row>
    <row r="127" spans="1:30" ht="9" customHeight="1">
      <c r="A127" s="479"/>
      <c r="B127" s="479"/>
      <c r="C127" s="477"/>
      <c r="D127" s="477"/>
      <c r="E127" s="477"/>
      <c r="F127" s="477"/>
      <c r="G127" s="477"/>
      <c r="H127" s="513"/>
      <c r="I127" s="513"/>
      <c r="J127" s="513"/>
      <c r="K127" s="513"/>
      <c r="L127" s="513"/>
      <c r="M127" s="477"/>
      <c r="N127" s="512"/>
      <c r="O127" s="542"/>
      <c r="P127" s="542"/>
      <c r="Q127" s="542"/>
      <c r="R127" s="542"/>
      <c r="S127" s="477"/>
      <c r="T127" s="477"/>
      <c r="U127" s="477"/>
      <c r="V127" s="477"/>
      <c r="W127" s="477"/>
      <c r="X127" s="477"/>
      <c r="Y127" s="582"/>
      <c r="Z127" s="480"/>
      <c r="AA127" s="483"/>
      <c r="AB127" s="480"/>
      <c r="AC127" s="480"/>
      <c r="AD127" s="480"/>
    </row>
    <row r="128" spans="1:30" ht="9" customHeight="1">
      <c r="A128" s="479"/>
      <c r="B128" s="479"/>
      <c r="C128" s="477"/>
      <c r="D128" s="477"/>
      <c r="E128" s="477"/>
      <c r="F128" s="477"/>
      <c r="G128" s="477"/>
      <c r="H128" s="513"/>
      <c r="I128" s="513"/>
      <c r="J128" s="513"/>
      <c r="K128" s="513"/>
      <c r="L128" s="513"/>
      <c r="M128" s="477"/>
      <c r="N128" s="512"/>
      <c r="O128" s="542"/>
      <c r="P128" s="542"/>
      <c r="Q128" s="542"/>
      <c r="R128" s="542"/>
      <c r="S128" s="477"/>
      <c r="T128" s="477"/>
      <c r="U128" s="477"/>
      <c r="V128" s="477"/>
      <c r="W128" s="477"/>
      <c r="X128" s="477"/>
      <c r="Y128" s="582"/>
      <c r="Z128" s="480"/>
      <c r="AA128" s="483"/>
      <c r="AB128" s="480"/>
      <c r="AC128" s="480"/>
      <c r="AD128" s="480"/>
    </row>
    <row r="129" spans="1:30" ht="9" customHeight="1">
      <c r="A129" s="479"/>
      <c r="B129" s="479"/>
      <c r="C129" s="477"/>
      <c r="D129" s="477"/>
      <c r="E129" s="477"/>
      <c r="F129" s="477"/>
      <c r="G129" s="477"/>
      <c r="H129" s="513"/>
      <c r="I129" s="513"/>
      <c r="J129" s="513"/>
      <c r="K129" s="513"/>
      <c r="L129" s="513"/>
      <c r="M129" s="477"/>
      <c r="N129" s="512"/>
      <c r="O129" s="542"/>
      <c r="P129" s="542"/>
      <c r="Q129" s="542"/>
      <c r="R129" s="542"/>
      <c r="S129" s="477"/>
      <c r="T129" s="477"/>
      <c r="U129" s="477"/>
      <c r="V129" s="477"/>
      <c r="W129" s="477"/>
      <c r="X129" s="477"/>
      <c r="Y129" s="582"/>
      <c r="Z129" s="480"/>
      <c r="AA129" s="483"/>
      <c r="AB129" s="480"/>
      <c r="AC129" s="480"/>
      <c r="AD129" s="480"/>
    </row>
    <row r="130" spans="1:30" ht="9" customHeight="1">
      <c r="A130" s="479"/>
      <c r="B130" s="479"/>
      <c r="C130" s="477"/>
      <c r="D130" s="477"/>
      <c r="E130" s="477"/>
      <c r="F130" s="477"/>
      <c r="G130" s="477"/>
      <c r="H130" s="513"/>
      <c r="I130" s="513"/>
      <c r="J130" s="513"/>
      <c r="K130" s="513"/>
      <c r="L130" s="513"/>
      <c r="M130" s="477"/>
      <c r="N130" s="512"/>
      <c r="O130" s="544"/>
      <c r="P130" s="544"/>
      <c r="Q130" s="544"/>
      <c r="R130" s="544"/>
      <c r="S130" s="477"/>
      <c r="T130" s="477"/>
      <c r="U130" s="477"/>
      <c r="V130" s="477"/>
      <c r="W130" s="477"/>
      <c r="X130" s="477"/>
      <c r="Y130" s="582"/>
      <c r="Z130" s="480"/>
      <c r="AA130" s="483"/>
      <c r="AB130" s="480"/>
      <c r="AC130" s="480"/>
      <c r="AD130" s="480"/>
    </row>
    <row r="131" spans="1:30" ht="9" customHeight="1">
      <c r="A131" s="479"/>
      <c r="B131" s="479"/>
      <c r="C131" s="477"/>
      <c r="D131" s="477"/>
      <c r="E131" s="477"/>
      <c r="F131" s="477"/>
      <c r="G131" s="477"/>
      <c r="H131" s="513"/>
      <c r="I131" s="513"/>
      <c r="J131" s="513"/>
      <c r="K131" s="513"/>
      <c r="L131" s="513"/>
      <c r="M131" s="477"/>
      <c r="N131" s="512"/>
      <c r="O131" s="545"/>
      <c r="P131" s="545"/>
      <c r="Q131" s="545"/>
      <c r="R131" s="545"/>
      <c r="S131" s="477"/>
      <c r="T131" s="477"/>
      <c r="U131" s="477"/>
      <c r="V131" s="477"/>
      <c r="W131" s="477"/>
      <c r="X131" s="477"/>
      <c r="Y131" s="582"/>
      <c r="Z131" s="480"/>
      <c r="AA131" s="483"/>
      <c r="AB131" s="480"/>
      <c r="AC131" s="480"/>
      <c r="AD131" s="480"/>
    </row>
    <row r="132" spans="1:30" ht="9" customHeight="1">
      <c r="A132" s="479"/>
      <c r="B132" s="479"/>
      <c r="C132" s="477"/>
      <c r="D132" s="477"/>
      <c r="E132" s="477"/>
      <c r="F132" s="477"/>
      <c r="G132" s="477"/>
      <c r="H132" s="513"/>
      <c r="I132" s="513"/>
      <c r="J132" s="513"/>
      <c r="K132" s="513"/>
      <c r="L132" s="513"/>
      <c r="M132" s="477"/>
      <c r="N132" s="512"/>
      <c r="O132" s="544"/>
      <c r="P132" s="544"/>
      <c r="Q132" s="544"/>
      <c r="R132" s="544"/>
      <c r="S132" s="477"/>
      <c r="T132" s="477"/>
      <c r="U132" s="477"/>
      <c r="V132" s="477"/>
      <c r="W132" s="477"/>
      <c r="X132" s="477"/>
      <c r="Y132" s="582"/>
      <c r="Z132" s="480"/>
      <c r="AA132" s="483"/>
      <c r="AB132" s="480"/>
      <c r="AC132" s="480"/>
      <c r="AD132" s="480"/>
    </row>
    <row r="133" spans="1:30" ht="9" customHeight="1">
      <c r="A133" s="479"/>
      <c r="B133" s="479"/>
      <c r="C133" s="477"/>
      <c r="D133" s="477"/>
      <c r="E133" s="477"/>
      <c r="F133" s="477"/>
      <c r="G133" s="477"/>
      <c r="H133" s="513"/>
      <c r="I133" s="513"/>
      <c r="J133" s="513"/>
      <c r="K133" s="513"/>
      <c r="L133" s="513"/>
      <c r="M133" s="477"/>
      <c r="N133" s="512"/>
      <c r="O133" s="545"/>
      <c r="P133" s="545"/>
      <c r="Q133" s="545"/>
      <c r="R133" s="545"/>
      <c r="S133" s="477"/>
      <c r="T133" s="477"/>
      <c r="U133" s="477"/>
      <c r="V133" s="477"/>
      <c r="W133" s="477"/>
      <c r="X133" s="477"/>
      <c r="Y133" s="582"/>
      <c r="Z133" s="480"/>
      <c r="AA133" s="483"/>
      <c r="AB133" s="480"/>
      <c r="AC133" s="480"/>
      <c r="AD133" s="480"/>
    </row>
    <row r="134" spans="1:30" ht="9" customHeight="1">
      <c r="A134" s="479"/>
      <c r="B134" s="479"/>
      <c r="C134" s="477"/>
      <c r="D134" s="477"/>
      <c r="E134" s="477"/>
      <c r="F134" s="477"/>
      <c r="G134" s="477"/>
      <c r="H134" s="513"/>
      <c r="I134" s="513"/>
      <c r="J134" s="513"/>
      <c r="K134" s="513"/>
      <c r="L134" s="513"/>
      <c r="M134" s="477"/>
      <c r="N134" s="512"/>
      <c r="O134" s="542"/>
      <c r="P134" s="542"/>
      <c r="Q134" s="542"/>
      <c r="R134" s="542"/>
      <c r="S134" s="477"/>
      <c r="T134" s="477"/>
      <c r="U134" s="477"/>
      <c r="V134" s="477"/>
      <c r="W134" s="477"/>
      <c r="X134" s="477"/>
      <c r="Y134" s="582"/>
      <c r="Z134" s="480"/>
      <c r="AA134" s="483"/>
      <c r="AB134" s="480"/>
      <c r="AC134" s="480"/>
      <c r="AD134" s="480"/>
    </row>
    <row r="135" spans="1:30" ht="9" customHeight="1">
      <c r="A135" s="479"/>
      <c r="B135" s="479"/>
      <c r="C135" s="477"/>
      <c r="D135" s="477"/>
      <c r="E135" s="477"/>
      <c r="F135" s="477"/>
      <c r="G135" s="477"/>
      <c r="H135" s="513"/>
      <c r="I135" s="513"/>
      <c r="J135" s="513"/>
      <c r="K135" s="513"/>
      <c r="L135" s="513"/>
      <c r="M135" s="477"/>
      <c r="N135" s="512"/>
      <c r="O135" s="542"/>
      <c r="P135" s="542"/>
      <c r="Q135" s="542"/>
      <c r="R135" s="542"/>
      <c r="S135" s="477"/>
      <c r="T135" s="477"/>
      <c r="U135" s="477"/>
      <c r="V135" s="477"/>
      <c r="W135" s="477"/>
      <c r="X135" s="477"/>
      <c r="Y135" s="582"/>
      <c r="Z135" s="480"/>
      <c r="AA135" s="483"/>
      <c r="AB135" s="480"/>
      <c r="AC135" s="480"/>
      <c r="AD135" s="480"/>
    </row>
    <row r="136" spans="1:30" ht="9" customHeight="1">
      <c r="A136" s="479"/>
      <c r="B136" s="479"/>
      <c r="C136" s="477"/>
      <c r="D136" s="477"/>
      <c r="E136" s="477"/>
      <c r="F136" s="477"/>
      <c r="G136" s="477"/>
      <c r="H136" s="513"/>
      <c r="I136" s="513"/>
      <c r="J136" s="513"/>
      <c r="K136" s="513"/>
      <c r="L136" s="513"/>
      <c r="M136" s="477"/>
      <c r="N136" s="512"/>
      <c r="O136" s="542"/>
      <c r="P136" s="542"/>
      <c r="Q136" s="542"/>
      <c r="R136" s="542"/>
      <c r="S136" s="477"/>
      <c r="T136" s="477"/>
      <c r="U136" s="477"/>
      <c r="V136" s="477"/>
      <c r="W136" s="477"/>
      <c r="X136" s="477"/>
      <c r="Y136" s="582"/>
      <c r="Z136" s="480"/>
      <c r="AA136" s="483"/>
      <c r="AB136" s="480"/>
      <c r="AC136" s="480"/>
      <c r="AD136" s="480"/>
    </row>
    <row r="137" spans="1:30" ht="9" customHeight="1">
      <c r="A137" s="479"/>
      <c r="B137" s="479"/>
      <c r="C137" s="477"/>
      <c r="D137" s="477"/>
      <c r="E137" s="477"/>
      <c r="F137" s="477"/>
      <c r="G137" s="477"/>
      <c r="H137" s="513"/>
      <c r="I137" s="513"/>
      <c r="J137" s="513"/>
      <c r="K137" s="513"/>
      <c r="L137" s="513"/>
      <c r="M137" s="477"/>
      <c r="N137" s="512"/>
      <c r="O137" s="546"/>
      <c r="P137" s="546"/>
      <c r="Q137" s="546"/>
      <c r="R137" s="546"/>
      <c r="S137" s="477"/>
      <c r="T137" s="477"/>
      <c r="U137" s="477"/>
      <c r="V137" s="477"/>
      <c r="W137" s="477"/>
      <c r="X137" s="477"/>
      <c r="Y137" s="582"/>
      <c r="Z137" s="480"/>
      <c r="AA137" s="483"/>
      <c r="AB137" s="480"/>
      <c r="AC137" s="480"/>
      <c r="AD137" s="480"/>
    </row>
    <row r="138" spans="1:30" ht="9" customHeight="1">
      <c r="A138" s="479"/>
      <c r="B138" s="479"/>
      <c r="C138" s="477"/>
      <c r="D138" s="477"/>
      <c r="E138" s="477"/>
      <c r="F138" s="477"/>
      <c r="G138" s="477"/>
      <c r="H138" s="513"/>
      <c r="I138" s="513"/>
      <c r="J138" s="513"/>
      <c r="K138" s="513"/>
      <c r="L138" s="513"/>
      <c r="M138" s="477"/>
      <c r="N138" s="512"/>
      <c r="O138" s="543"/>
      <c r="P138" s="543"/>
      <c r="Q138" s="543"/>
      <c r="R138" s="543"/>
      <c r="S138" s="477"/>
      <c r="T138" s="477"/>
      <c r="U138" s="477"/>
      <c r="V138" s="477"/>
      <c r="W138" s="477"/>
      <c r="X138" s="477"/>
      <c r="Y138" s="582"/>
      <c r="Z138" s="480"/>
      <c r="AA138" s="483"/>
      <c r="AB138" s="480"/>
      <c r="AC138" s="480"/>
      <c r="AD138" s="480"/>
    </row>
    <row r="139" spans="1:30" ht="9" customHeight="1">
      <c r="A139" s="479"/>
      <c r="B139" s="479"/>
      <c r="C139" s="477"/>
      <c r="D139" s="477"/>
      <c r="E139" s="477"/>
      <c r="F139" s="477"/>
      <c r="G139" s="477"/>
      <c r="H139" s="513"/>
      <c r="I139" s="513"/>
      <c r="J139" s="513"/>
      <c r="K139" s="513"/>
      <c r="L139" s="513"/>
      <c r="M139" s="477"/>
      <c r="N139" s="512"/>
      <c r="O139" s="477"/>
      <c r="P139" s="477"/>
      <c r="Q139" s="477"/>
      <c r="R139" s="477"/>
      <c r="S139" s="477"/>
      <c r="T139" s="477"/>
      <c r="U139" s="477"/>
      <c r="V139" s="477"/>
      <c r="W139" s="477"/>
      <c r="X139" s="477"/>
      <c r="Y139" s="582"/>
      <c r="Z139" s="480"/>
      <c r="AA139" s="483"/>
      <c r="AB139" s="480"/>
      <c r="AC139" s="480"/>
      <c r="AD139" s="480"/>
    </row>
    <row r="140" spans="1:30" ht="9" customHeight="1">
      <c r="A140" s="479"/>
      <c r="B140" s="479"/>
      <c r="C140" s="477"/>
      <c r="D140" s="477"/>
      <c r="E140" s="477"/>
      <c r="F140" s="477"/>
      <c r="G140" s="477"/>
      <c r="H140" s="513"/>
      <c r="I140" s="513"/>
      <c r="J140" s="513"/>
      <c r="K140" s="513"/>
      <c r="L140" s="513"/>
      <c r="M140" s="477"/>
      <c r="N140" s="512"/>
      <c r="O140" s="477"/>
      <c r="P140" s="477"/>
      <c r="Q140" s="477"/>
      <c r="R140" s="477"/>
      <c r="S140" s="477"/>
      <c r="T140" s="477"/>
      <c r="U140" s="477"/>
      <c r="V140" s="477"/>
      <c r="W140" s="477"/>
      <c r="X140" s="477"/>
      <c r="Y140" s="582"/>
      <c r="Z140" s="480"/>
      <c r="AA140" s="483"/>
      <c r="AB140" s="480"/>
      <c r="AC140" s="480"/>
      <c r="AD140" s="480"/>
    </row>
    <row r="141" spans="1:30" ht="9" customHeight="1">
      <c r="A141" s="479"/>
      <c r="B141" s="479"/>
      <c r="C141" s="477"/>
      <c r="D141" s="477"/>
      <c r="E141" s="477"/>
      <c r="F141" s="477"/>
      <c r="G141" s="477"/>
      <c r="H141" s="513"/>
      <c r="I141" s="513"/>
      <c r="J141" s="513"/>
      <c r="K141" s="513"/>
      <c r="L141" s="513"/>
      <c r="M141" s="477"/>
      <c r="N141" s="512"/>
      <c r="O141" s="477"/>
      <c r="P141" s="477"/>
      <c r="Q141" s="477"/>
      <c r="R141" s="477"/>
      <c r="S141" s="477"/>
      <c r="T141" s="477"/>
      <c r="U141" s="477"/>
      <c r="V141" s="477"/>
      <c r="W141" s="477"/>
      <c r="X141" s="477"/>
      <c r="Y141" s="582"/>
      <c r="Z141" s="480"/>
      <c r="AA141" s="483"/>
      <c r="AB141" s="480"/>
      <c r="AC141" s="480"/>
      <c r="AD141" s="480"/>
    </row>
    <row r="142" spans="1:30" ht="9" customHeight="1">
      <c r="A142" s="479"/>
      <c r="B142" s="479"/>
      <c r="C142" s="477"/>
      <c r="D142" s="477"/>
      <c r="E142" s="477"/>
      <c r="F142" s="477"/>
      <c r="G142" s="477"/>
      <c r="H142" s="513"/>
      <c r="I142" s="513"/>
      <c r="J142" s="513"/>
      <c r="K142" s="513"/>
      <c r="L142" s="513"/>
      <c r="M142" s="477"/>
      <c r="N142" s="512"/>
      <c r="O142" s="477"/>
      <c r="P142" s="477"/>
      <c r="Q142" s="477"/>
      <c r="R142" s="477"/>
      <c r="S142" s="477"/>
      <c r="T142" s="477"/>
      <c r="U142" s="477"/>
      <c r="V142" s="477"/>
      <c r="W142" s="477"/>
      <c r="X142" s="477"/>
      <c r="Y142" s="582"/>
      <c r="Z142" s="480"/>
      <c r="AA142" s="483"/>
      <c r="AB142" s="480"/>
      <c r="AC142" s="480"/>
      <c r="AD142" s="480"/>
    </row>
    <row r="143" spans="1:30" ht="9" customHeight="1">
      <c r="A143" s="479"/>
      <c r="B143" s="479"/>
      <c r="C143" s="477"/>
      <c r="D143" s="477"/>
      <c r="E143" s="477"/>
      <c r="F143" s="477"/>
      <c r="G143" s="477"/>
      <c r="H143" s="513"/>
      <c r="I143" s="513"/>
      <c r="J143" s="513"/>
      <c r="K143" s="513"/>
      <c r="L143" s="513"/>
      <c r="M143" s="477"/>
      <c r="N143" s="512"/>
      <c r="O143" s="477"/>
      <c r="P143" s="477"/>
      <c r="Q143" s="477"/>
      <c r="R143" s="477"/>
      <c r="S143" s="477"/>
      <c r="T143" s="477"/>
      <c r="U143" s="477"/>
      <c r="V143" s="477"/>
      <c r="W143" s="477"/>
      <c r="X143" s="477"/>
      <c r="Y143" s="582"/>
      <c r="Z143" s="480"/>
      <c r="AA143" s="483"/>
      <c r="AB143" s="480"/>
      <c r="AC143" s="480"/>
      <c r="AD143" s="480"/>
    </row>
    <row r="144" spans="1:30" ht="9" customHeight="1">
      <c r="A144" s="479"/>
      <c r="B144" s="479"/>
      <c r="C144" s="477"/>
      <c r="D144" s="477"/>
      <c r="E144" s="477"/>
      <c r="F144" s="477"/>
      <c r="G144" s="477"/>
      <c r="H144" s="513"/>
      <c r="I144" s="513"/>
      <c r="J144" s="513"/>
      <c r="K144" s="513"/>
      <c r="L144" s="513"/>
      <c r="M144" s="477"/>
      <c r="N144" s="512"/>
      <c r="O144" s="477"/>
      <c r="P144" s="477"/>
      <c r="Q144" s="477"/>
      <c r="R144" s="477"/>
      <c r="S144" s="477"/>
      <c r="T144" s="477"/>
      <c r="U144" s="477"/>
      <c r="V144" s="477"/>
      <c r="W144" s="477"/>
      <c r="X144" s="477"/>
      <c r="Y144" s="582"/>
      <c r="Z144" s="480"/>
      <c r="AA144" s="483"/>
      <c r="AB144" s="480"/>
      <c r="AC144" s="480"/>
      <c r="AD144" s="480"/>
    </row>
    <row r="145" spans="1:30" ht="9" customHeight="1">
      <c r="A145" s="479"/>
      <c r="B145" s="479"/>
      <c r="C145" s="477"/>
      <c r="D145" s="477"/>
      <c r="E145" s="477"/>
      <c r="F145" s="477"/>
      <c r="G145" s="477"/>
      <c r="H145" s="513"/>
      <c r="I145" s="513"/>
      <c r="J145" s="513"/>
      <c r="K145" s="513"/>
      <c r="L145" s="513"/>
      <c r="M145" s="477"/>
      <c r="N145" s="512"/>
      <c r="O145" s="477"/>
      <c r="P145" s="477"/>
      <c r="Q145" s="477"/>
      <c r="R145" s="477"/>
      <c r="S145" s="477"/>
      <c r="T145" s="477"/>
      <c r="U145" s="477"/>
      <c r="V145" s="477"/>
      <c r="W145" s="477"/>
      <c r="X145" s="477"/>
      <c r="Y145" s="582"/>
      <c r="Z145" s="480"/>
      <c r="AA145" s="483"/>
      <c r="AB145" s="480"/>
      <c r="AC145" s="480"/>
      <c r="AD145" s="480"/>
    </row>
    <row r="146" spans="1:30" ht="9" customHeight="1">
      <c r="A146" s="479"/>
      <c r="B146" s="479"/>
      <c r="C146" s="477"/>
      <c r="D146" s="477"/>
      <c r="E146" s="477"/>
      <c r="F146" s="477"/>
      <c r="G146" s="477"/>
      <c r="H146" s="513"/>
      <c r="I146" s="513"/>
      <c r="J146" s="513"/>
      <c r="K146" s="513"/>
      <c r="L146" s="513"/>
      <c r="M146" s="477"/>
      <c r="N146" s="512"/>
      <c r="O146" s="477"/>
      <c r="P146" s="477"/>
      <c r="Q146" s="477"/>
      <c r="R146" s="477"/>
      <c r="S146" s="477"/>
      <c r="T146" s="477"/>
      <c r="U146" s="477"/>
      <c r="V146" s="477"/>
      <c r="W146" s="477"/>
      <c r="X146" s="477"/>
      <c r="Y146" s="582"/>
      <c r="Z146" s="480"/>
      <c r="AA146" s="483"/>
      <c r="AB146" s="480"/>
      <c r="AC146" s="480"/>
      <c r="AD146" s="480"/>
    </row>
    <row r="147" spans="1:30" ht="9" customHeight="1">
      <c r="A147" s="479"/>
      <c r="B147" s="479"/>
      <c r="C147" s="479"/>
      <c r="D147" s="479"/>
      <c r="E147" s="479"/>
      <c r="F147" s="479"/>
      <c r="G147" s="479"/>
      <c r="H147" s="479"/>
      <c r="I147" s="479"/>
      <c r="J147" s="479"/>
      <c r="K147" s="479"/>
      <c r="L147" s="479"/>
      <c r="M147" s="479"/>
      <c r="N147" s="479"/>
      <c r="O147" s="479"/>
      <c r="P147" s="479"/>
      <c r="Q147" s="479"/>
      <c r="R147" s="479"/>
      <c r="S147" s="479"/>
      <c r="T147" s="479"/>
      <c r="U147" s="479"/>
      <c r="V147" s="479"/>
      <c r="W147" s="479"/>
      <c r="X147" s="479"/>
      <c r="Y147" s="479"/>
      <c r="Z147" s="479"/>
      <c r="AA147" s="479"/>
      <c r="AB147" s="479"/>
      <c r="AC147" s="479"/>
      <c r="AD147" s="479"/>
    </row>
    <row r="148" spans="1:30" ht="90" customHeight="1">
      <c r="A148" s="479" t="s">
        <v>1661</v>
      </c>
      <c r="B148" s="479"/>
      <c r="C148" s="477" t="s">
        <v>2222</v>
      </c>
      <c r="D148" s="477" t="s">
        <v>1562</v>
      </c>
      <c r="E148" s="477" t="s">
        <v>1663</v>
      </c>
      <c r="F148" s="477" t="s">
        <v>2223</v>
      </c>
      <c r="G148" s="477"/>
      <c r="H148" s="477"/>
      <c r="I148" s="548"/>
      <c r="J148" s="548"/>
      <c r="K148" s="548"/>
      <c r="L148" s="548"/>
      <c r="M148" s="515"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482"/>
      <c r="O148" s="477"/>
      <c r="P148" s="478"/>
      <c r="Q148" s="478"/>
      <c r="R148" s="478"/>
      <c r="S148" s="477"/>
      <c r="T148" s="477" t="s">
        <v>2224</v>
      </c>
      <c r="U148" s="47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478"/>
      <c r="W148" s="478"/>
      <c r="X148" s="477" t="s">
        <v>2225</v>
      </c>
      <c r="Y148" s="582"/>
      <c r="Z148" s="480"/>
      <c r="AA148" s="483"/>
      <c r="AB148" s="480"/>
      <c r="AC148" s="480"/>
      <c r="AD148" s="480"/>
    </row>
    <row r="149" spans="1:30" ht="9" customHeight="1">
      <c r="A149" s="479"/>
      <c r="B149" s="479"/>
      <c r="C149" s="479"/>
      <c r="D149" s="479"/>
      <c r="E149" s="479"/>
      <c r="F149" s="479"/>
      <c r="G149" s="479"/>
      <c r="H149" s="479"/>
      <c r="I149" s="479"/>
      <c r="J149" s="479"/>
      <c r="K149" s="479"/>
      <c r="L149" s="479"/>
      <c r="M149" s="479"/>
      <c r="N149" s="479"/>
      <c r="O149" s="479"/>
      <c r="P149" s="479"/>
      <c r="Q149" s="479"/>
      <c r="R149" s="479"/>
      <c r="S149" s="479"/>
      <c r="T149" s="479"/>
      <c r="U149" s="479"/>
      <c r="V149" s="479"/>
      <c r="W149" s="479"/>
      <c r="X149" s="479"/>
      <c r="Y149" s="479"/>
      <c r="Z149" s="479"/>
      <c r="AA149" s="479"/>
      <c r="AB149" s="479"/>
      <c r="AC149" s="479"/>
      <c r="AD149" s="479"/>
    </row>
    <row r="150" spans="1:30" ht="9" customHeight="1">
      <c r="A150" s="479" t="s">
        <v>1665</v>
      </c>
      <c r="B150" s="479"/>
      <c r="C150" s="477"/>
      <c r="D150" s="477"/>
      <c r="E150" s="477"/>
      <c r="F150" s="477"/>
      <c r="G150" s="477"/>
      <c r="H150" s="477"/>
      <c r="I150" s="477"/>
      <c r="J150" s="477"/>
      <c r="K150" s="477"/>
      <c r="L150" s="477"/>
      <c r="M150" s="477"/>
      <c r="N150" s="477"/>
      <c r="O150" s="477"/>
      <c r="P150" s="477"/>
      <c r="Q150" s="477"/>
      <c r="R150" s="477"/>
      <c r="S150" s="477"/>
      <c r="T150" s="477"/>
      <c r="U150" s="477"/>
      <c r="V150" s="477"/>
      <c r="W150" s="477"/>
      <c r="X150" s="477"/>
      <c r="Y150" s="582"/>
      <c r="Z150" s="480"/>
      <c r="AA150" s="483"/>
      <c r="AB150" s="480"/>
      <c r="AC150" s="480"/>
      <c r="AD150" s="480"/>
    </row>
    <row r="151" spans="1:30" ht="9" customHeight="1">
      <c r="A151" s="479"/>
      <c r="B151" s="479"/>
      <c r="C151" s="479"/>
      <c r="D151" s="479"/>
      <c r="E151" s="479"/>
      <c r="F151" s="479"/>
      <c r="G151" s="479"/>
      <c r="H151" s="479"/>
      <c r="I151" s="479"/>
      <c r="J151" s="479"/>
      <c r="K151" s="479"/>
      <c r="L151" s="479"/>
      <c r="M151" s="479"/>
      <c r="N151" s="479"/>
      <c r="O151" s="479"/>
      <c r="P151" s="479"/>
      <c r="Q151" s="479"/>
      <c r="R151" s="479"/>
      <c r="S151" s="479"/>
      <c r="T151" s="479"/>
      <c r="U151" s="479"/>
      <c r="V151" s="479"/>
      <c r="W151" s="479"/>
      <c r="X151" s="479"/>
      <c r="Y151" s="479"/>
      <c r="Z151" s="479"/>
      <c r="AA151" s="479"/>
      <c r="AB151" s="479"/>
      <c r="AC151" s="479"/>
      <c r="AD151" s="479"/>
    </row>
    <row r="152" spans="1:30" ht="9" customHeight="1">
      <c r="A152" s="479" t="s">
        <v>1668</v>
      </c>
      <c r="B152" s="479"/>
      <c r="C152" s="477"/>
      <c r="D152" s="477"/>
      <c r="E152" s="477"/>
      <c r="F152" s="477"/>
      <c r="G152" s="477"/>
      <c r="H152" s="477"/>
      <c r="I152" s="477"/>
      <c r="J152" s="477"/>
      <c r="K152" s="477"/>
      <c r="L152" s="477"/>
      <c r="M152" s="477"/>
      <c r="N152" s="477"/>
      <c r="O152" s="477"/>
      <c r="P152" s="477"/>
      <c r="Q152" s="477"/>
      <c r="R152" s="477"/>
      <c r="S152" s="477"/>
      <c r="T152" s="477"/>
      <c r="U152" s="477"/>
      <c r="V152" s="477"/>
      <c r="W152" s="477"/>
      <c r="X152" s="477"/>
      <c r="Y152" s="582"/>
      <c r="Z152" s="480"/>
      <c r="AA152" s="483"/>
      <c r="AB152" s="480"/>
      <c r="AC152" s="480"/>
      <c r="AD152" s="480"/>
    </row>
    <row r="153" spans="1:30" ht="9" customHeight="1">
      <c r="A153" s="479"/>
      <c r="B153" s="479"/>
      <c r="C153" s="479"/>
      <c r="D153" s="479"/>
      <c r="E153" s="479"/>
      <c r="F153" s="479"/>
      <c r="G153" s="479"/>
      <c r="H153" s="479"/>
      <c r="I153" s="479"/>
      <c r="J153" s="479"/>
      <c r="K153" s="479"/>
      <c r="L153" s="479"/>
      <c r="M153" s="479"/>
      <c r="N153" s="479"/>
      <c r="O153" s="479"/>
      <c r="P153" s="479"/>
      <c r="Q153" s="479"/>
      <c r="R153" s="479"/>
      <c r="S153" s="479"/>
      <c r="T153" s="479"/>
      <c r="U153" s="479"/>
      <c r="V153" s="479"/>
      <c r="W153" s="479"/>
      <c r="X153" s="479"/>
      <c r="Y153" s="479"/>
      <c r="Z153" s="479"/>
      <c r="AA153" s="479"/>
      <c r="AB153" s="479"/>
      <c r="AC153" s="479"/>
      <c r="AD153" s="479"/>
    </row>
    <row r="154" spans="1:30" ht="9" customHeight="1">
      <c r="A154" s="479" t="s">
        <v>1672</v>
      </c>
      <c r="B154" s="479"/>
      <c r="C154" s="477"/>
      <c r="D154" s="477"/>
      <c r="E154" s="477"/>
      <c r="F154" s="477"/>
      <c r="G154" s="477"/>
      <c r="H154" s="477"/>
      <c r="I154" s="477"/>
      <c r="J154" s="477"/>
      <c r="K154" s="477"/>
      <c r="L154" s="477"/>
      <c r="M154" s="477"/>
      <c r="N154" s="477"/>
      <c r="O154" s="477"/>
      <c r="P154" s="477"/>
      <c r="Q154" s="477"/>
      <c r="R154" s="477"/>
      <c r="S154" s="477"/>
      <c r="T154" s="477"/>
      <c r="U154" s="477"/>
      <c r="V154" s="477"/>
      <c r="W154" s="477"/>
      <c r="X154" s="477"/>
      <c r="Y154" s="582"/>
      <c r="Z154" s="480"/>
      <c r="AA154" s="483"/>
      <c r="AB154" s="480"/>
      <c r="AC154" s="480"/>
      <c r="AD154" s="48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2.28515625" style="60" hidden="1" customWidth="1"/>
    <col min="6" max="8" width="12.28515625" style="503" hidden="1" customWidth="1"/>
    <col min="9" max="9" width="3" style="32" customWidth="1"/>
    <col min="10" max="11" width="3" style="28" customWidth="1"/>
    <col min="12" max="12" width="12" style="339" customWidth="1"/>
    <col min="13" max="13" width="31" style="10" customWidth="1"/>
    <col min="14" max="14" width="1" style="10" customWidth="1"/>
    <col min="15" max="18" width="24" style="10" customWidth="1"/>
    <col min="19" max="19" width="11" style="10" customWidth="1"/>
    <col min="20" max="20" width="3.7109375" style="10" customWidth="1"/>
    <col min="21" max="21" width="11" style="10" customWidth="1"/>
    <col min="22" max="22" width="8.5703125" style="10" customWidth="1"/>
    <col min="23" max="23" width="4" style="10" customWidth="1"/>
    <col min="24" max="24" width="115" style="10" customWidth="1"/>
    <col min="25" max="29" width="10" style="65" customWidth="1"/>
    <col min="30" max="30" width="10.5703125" style="10" hidden="1"/>
  </cols>
  <sheetData>
    <row r="1" spans="1:30" ht="22.5" hidden="1" customHeight="1">
      <c r="AD1" s="10" t="s">
        <v>14</v>
      </c>
    </row>
    <row r="2" spans="1:30" ht="14.25" hidden="1" customHeight="1">
      <c r="AD2" s="10">
        <v>0</v>
      </c>
    </row>
    <row r="3" spans="1:30" ht="14.25" hidden="1" customHeight="1">
      <c r="AD3" s="10">
        <v>0</v>
      </c>
    </row>
    <row r="4" spans="1:30" ht="14.65" customHeight="1">
      <c r="J4" s="27"/>
      <c r="K4" s="27"/>
      <c r="L4" s="736"/>
      <c r="M4" s="9"/>
      <c r="N4" s="9"/>
      <c r="AD4" s="10">
        <v>14</v>
      </c>
    </row>
    <row r="5" spans="1:30" ht="67.150000000000006" customHeight="1">
      <c r="J5" s="27"/>
      <c r="K5" s="27"/>
      <c r="L5" s="1556" t="s">
        <v>2226</v>
      </c>
      <c r="M5" s="1556"/>
      <c r="N5" s="1556"/>
      <c r="O5" s="1556"/>
      <c r="P5" s="1556"/>
      <c r="Q5" s="1556"/>
      <c r="R5" s="1556"/>
      <c r="S5" s="1556"/>
      <c r="T5" s="1556"/>
      <c r="U5" s="1556"/>
      <c r="V5" s="57"/>
      <c r="AD5" s="10">
        <v>64</v>
      </c>
    </row>
    <row r="6" spans="1:30" ht="14.65" customHeight="1">
      <c r="J6" s="27"/>
      <c r="K6" s="27"/>
      <c r="L6" s="1557" t="str">
        <f>IF(org=0,"Не определено",org)</f>
        <v>Общество с ограниченной ответственностью "Березовский рудник"</v>
      </c>
      <c r="M6" s="1557"/>
      <c r="N6" s="1557"/>
      <c r="O6" s="1557"/>
      <c r="P6" s="1557"/>
      <c r="Q6" s="1557"/>
      <c r="R6" s="1557"/>
      <c r="S6" s="1557"/>
      <c r="T6" s="1557"/>
      <c r="U6" s="1557"/>
      <c r="V6" s="57"/>
      <c r="AD6" s="10">
        <v>14</v>
      </c>
    </row>
    <row r="7" spans="1:30" ht="14.65" customHeight="1">
      <c r="J7" s="27"/>
      <c r="K7" s="27"/>
      <c r="L7" s="736"/>
      <c r="M7" s="9"/>
      <c r="N7" s="9"/>
      <c r="O7" s="186"/>
      <c r="P7" s="186"/>
      <c r="Q7" s="186"/>
      <c r="R7" s="186"/>
      <c r="S7" s="186"/>
      <c r="T7" s="186"/>
      <c r="U7" s="186"/>
      <c r="V7" s="186"/>
      <c r="AD7" s="10">
        <v>14</v>
      </c>
    </row>
    <row r="8" spans="1:30" s="34" customFormat="1" ht="48.2" customHeight="1">
      <c r="A8" s="79"/>
      <c r="B8" s="79"/>
      <c r="C8" s="79"/>
      <c r="D8" s="79"/>
      <c r="E8" s="79"/>
      <c r="F8" s="79"/>
      <c r="G8" s="79"/>
      <c r="H8" s="79"/>
      <c r="L8" s="737"/>
      <c r="M8" s="167" t="s">
        <v>41</v>
      </c>
      <c r="N8" s="172"/>
      <c r="O8" s="1276" t="str">
        <f>IF(TITLE_NAME_OR_PR_CHANGE="",IF(TITLE_NAME_OR_PR="","",TITLE_NAME_OR_PR),TITLE_NAME_OR_PR_CHANGE)</f>
        <v/>
      </c>
      <c r="P8" s="1276"/>
      <c r="Q8" s="1276"/>
      <c r="R8" s="1276"/>
      <c r="S8" s="1276"/>
      <c r="T8" s="1276"/>
      <c r="U8" s="1276"/>
      <c r="V8" s="10"/>
      <c r="W8" s="10"/>
      <c r="X8" s="160"/>
      <c r="Y8" s="66"/>
      <c r="Z8" s="66"/>
      <c r="AA8" s="66"/>
      <c r="AB8" s="66"/>
      <c r="AC8" s="66"/>
      <c r="AD8" s="34">
        <v>46</v>
      </c>
    </row>
    <row r="9" spans="1:30" s="34" customFormat="1" ht="24" customHeight="1">
      <c r="A9" s="79"/>
      <c r="B9" s="79"/>
      <c r="C9" s="79"/>
      <c r="D9" s="79"/>
      <c r="E9" s="79"/>
      <c r="F9" s="79"/>
      <c r="G9" s="79"/>
      <c r="H9" s="79"/>
      <c r="L9" s="737"/>
      <c r="M9" s="167" t="s">
        <v>421</v>
      </c>
      <c r="N9" s="172"/>
      <c r="O9" s="1276">
        <f>IF(TITLE_DATE_CHANGE_PERIOD="",IF(TITLE_DATE_PR="","",TITLE_DATE_PR),TITLE_DATE_CHANGE_PERIOD)</f>
        <v>45805</v>
      </c>
      <c r="P9" s="1276"/>
      <c r="Q9" s="1276"/>
      <c r="R9" s="1276"/>
      <c r="S9" s="1276"/>
      <c r="T9" s="1276"/>
      <c r="U9" s="1276"/>
      <c r="V9" s="10"/>
      <c r="W9" s="10"/>
      <c r="X9" s="160"/>
      <c r="Y9" s="66"/>
      <c r="Z9" s="66"/>
      <c r="AA9" s="66"/>
      <c r="AB9" s="66"/>
      <c r="AC9" s="66"/>
      <c r="AD9" s="34">
        <v>23</v>
      </c>
    </row>
    <row r="10" spans="1:30" s="34" customFormat="1" ht="24" customHeight="1">
      <c r="A10" s="79"/>
      <c r="B10" s="79"/>
      <c r="C10" s="79"/>
      <c r="D10" s="79"/>
      <c r="E10" s="79"/>
      <c r="F10" s="79"/>
      <c r="G10" s="79"/>
      <c r="H10" s="79"/>
      <c r="L10" s="339"/>
      <c r="M10" s="167" t="s">
        <v>422</v>
      </c>
      <c r="N10" s="172"/>
      <c r="O10" s="1276" t="str">
        <f>IF(TITLE_NUMBER_PR_CHANGE="",IF(TITLE_NUMBER_PR="","",TITLE_NUMBER_PR),TITLE_NUMBER_PR_CHANGE)</f>
        <v>2496</v>
      </c>
      <c r="P10" s="1276"/>
      <c r="Q10" s="1276"/>
      <c r="R10" s="1276"/>
      <c r="S10" s="1276"/>
      <c r="T10" s="1276"/>
      <c r="U10" s="1276"/>
      <c r="V10" s="10"/>
      <c r="W10" s="10"/>
      <c r="X10" s="160"/>
      <c r="Y10" s="66"/>
      <c r="Z10" s="66"/>
      <c r="AA10" s="66"/>
      <c r="AB10" s="66"/>
      <c r="AC10" s="66"/>
      <c r="AD10" s="34">
        <v>23</v>
      </c>
    </row>
    <row r="11" spans="1:30" s="34" customFormat="1" ht="24" customHeight="1">
      <c r="A11" s="79"/>
      <c r="B11" s="79"/>
      <c r="C11" s="79"/>
      <c r="D11" s="79"/>
      <c r="E11" s="79"/>
      <c r="F11" s="79"/>
      <c r="G11" s="79"/>
      <c r="H11" s="79"/>
      <c r="L11" s="339"/>
      <c r="M11" s="167" t="s">
        <v>42</v>
      </c>
      <c r="N11" s="172"/>
      <c r="O11" s="1276" t="str">
        <f>IF(TITLE_IST_PUB_CHANGE="",IF(TITLE_IST_PUB="","",TITLE_IST_PUB),TITLE_IST_PUB_CHANGE)</f>
        <v/>
      </c>
      <c r="P11" s="1276"/>
      <c r="Q11" s="1276"/>
      <c r="R11" s="1276"/>
      <c r="S11" s="1276"/>
      <c r="T11" s="1276"/>
      <c r="U11" s="1276"/>
      <c r="V11" s="10"/>
      <c r="W11" s="10"/>
      <c r="X11" s="160"/>
      <c r="Y11" s="66"/>
      <c r="Z11" s="66"/>
      <c r="AA11" s="66"/>
      <c r="AB11" s="66"/>
      <c r="AC11" s="66"/>
      <c r="AD11" s="34">
        <v>23</v>
      </c>
    </row>
    <row r="12" spans="1:30" s="34" customFormat="1" ht="11.25" hidden="1" customHeight="1">
      <c r="A12" s="79"/>
      <c r="B12" s="79"/>
      <c r="C12" s="79"/>
      <c r="D12" s="79"/>
      <c r="E12" s="79"/>
      <c r="F12" s="79"/>
      <c r="G12" s="79"/>
      <c r="H12" s="79"/>
      <c r="L12" s="1555"/>
      <c r="M12" s="1555"/>
      <c r="N12" s="75"/>
      <c r="O12" s="10"/>
      <c r="P12" s="10"/>
      <c r="Q12" s="10"/>
      <c r="R12" s="10"/>
      <c r="S12" s="10"/>
      <c r="T12" s="10"/>
      <c r="U12" s="10"/>
      <c r="V12" s="65" t="s">
        <v>425</v>
      </c>
      <c r="Y12" s="66"/>
      <c r="Z12" s="66"/>
      <c r="AA12" s="66"/>
      <c r="AB12" s="66"/>
      <c r="AC12" s="66"/>
      <c r="AD12" s="34">
        <v>0</v>
      </c>
    </row>
    <row r="13" spans="1:30" ht="14.65" customHeight="1">
      <c r="J13" s="27"/>
      <c r="K13" s="27"/>
      <c r="L13" s="736"/>
      <c r="M13" s="9"/>
      <c r="N13" s="717"/>
      <c r="O13" s="1295"/>
      <c r="P13" s="1295"/>
      <c r="Q13" s="1295"/>
      <c r="R13" s="1295"/>
      <c r="S13" s="1295"/>
      <c r="T13" s="1295"/>
      <c r="U13" s="1295"/>
      <c r="V13" s="1295"/>
      <c r="AD13" s="10">
        <v>14</v>
      </c>
    </row>
    <row r="14" spans="1:30" ht="14.65" customHeight="1">
      <c r="J14" s="27"/>
      <c r="K14" s="27"/>
      <c r="L14" s="1146" t="s">
        <v>300</v>
      </c>
      <c r="M14" s="1146"/>
      <c r="N14" s="1146"/>
      <c r="O14" s="1146"/>
      <c r="P14" s="1146"/>
      <c r="Q14" s="1146"/>
      <c r="R14" s="1146"/>
      <c r="S14" s="1146"/>
      <c r="T14" s="1146"/>
      <c r="U14" s="1146"/>
      <c r="V14" s="1146"/>
      <c r="W14" s="1146"/>
      <c r="X14" s="1146" t="s">
        <v>301</v>
      </c>
      <c r="AD14" s="10">
        <v>14</v>
      </c>
    </row>
    <row r="15" spans="1:30" ht="14.65" customHeight="1">
      <c r="J15" s="27"/>
      <c r="K15" s="27"/>
      <c r="L15" s="1296" t="s">
        <v>86</v>
      </c>
      <c r="M15" s="1244" t="s">
        <v>426</v>
      </c>
      <c r="N15" s="169"/>
      <c r="O15" s="1297" t="s">
        <v>2227</v>
      </c>
      <c r="P15" s="1298"/>
      <c r="Q15" s="1298"/>
      <c r="R15" s="1298"/>
      <c r="S15" s="1298"/>
      <c r="T15" s="1298"/>
      <c r="U15" s="1299"/>
      <c r="V15" s="1300" t="s">
        <v>428</v>
      </c>
      <c r="W15" s="1303" t="s">
        <v>1143</v>
      </c>
      <c r="X15" s="1146"/>
      <c r="AD15" s="10">
        <v>14</v>
      </c>
    </row>
    <row r="16" spans="1:30" ht="35.65" customHeight="1">
      <c r="J16" s="27"/>
      <c r="K16" s="27"/>
      <c r="L16" s="1296"/>
      <c r="M16" s="1244"/>
      <c r="N16" s="604"/>
      <c r="O16" s="1216" t="s">
        <v>431</v>
      </c>
      <c r="P16" s="1216" t="s">
        <v>432</v>
      </c>
      <c r="Q16" s="1128" t="s">
        <v>433</v>
      </c>
      <c r="R16" s="1127"/>
      <c r="S16" s="1128" t="s">
        <v>446</v>
      </c>
      <c r="T16" s="1133"/>
      <c r="U16" s="1127"/>
      <c r="V16" s="1301"/>
      <c r="W16" s="1304"/>
      <c r="X16" s="1146"/>
      <c r="AD16" s="10">
        <v>34</v>
      </c>
    </row>
    <row r="17" spans="1:30" ht="35.65" customHeight="1">
      <c r="A17" s="79" t="s">
        <v>132</v>
      </c>
      <c r="B17" s="79" t="s">
        <v>133</v>
      </c>
      <c r="C17" s="79" t="s">
        <v>134</v>
      </c>
      <c r="D17" s="79" t="s">
        <v>135</v>
      </c>
      <c r="E17" s="79"/>
      <c r="J17" s="27"/>
      <c r="K17" s="27"/>
      <c r="L17" s="1296"/>
      <c r="M17" s="1244"/>
      <c r="N17" s="170"/>
      <c r="O17" s="1269"/>
      <c r="P17" s="1269"/>
      <c r="Q17" s="38" t="s">
        <v>442</v>
      </c>
      <c r="R17" s="38" t="s">
        <v>443</v>
      </c>
      <c r="S17" s="38" t="s">
        <v>444</v>
      </c>
      <c r="T17" s="1249" t="s">
        <v>445</v>
      </c>
      <c r="U17" s="1263"/>
      <c r="V17" s="1302"/>
      <c r="W17" s="1305"/>
      <c r="X17" s="1146"/>
      <c r="AD17" s="10">
        <v>34</v>
      </c>
    </row>
    <row r="18" spans="1:30" s="200" customFormat="1" ht="11.45" customHeight="1">
      <c r="A18" s="79"/>
      <c r="B18" s="79"/>
      <c r="C18" s="79"/>
      <c r="D18" s="79"/>
      <c r="E18" s="79"/>
      <c r="F18" s="503"/>
      <c r="G18" s="503"/>
      <c r="H18" s="503"/>
      <c r="I18" s="719"/>
      <c r="J18" s="720"/>
      <c r="K18" s="722">
        <v>1</v>
      </c>
      <c r="L18" s="738" t="s">
        <v>107</v>
      </c>
      <c r="M18" s="723" t="s">
        <v>108</v>
      </c>
      <c r="N18" s="718" t="str">
        <f ca="1">OFFSET(N18,0,-1)</f>
        <v>2</v>
      </c>
      <c r="O18" s="724">
        <f ca="1">OFFSET(O18,0,-1)+1</f>
        <v>3</v>
      </c>
      <c r="P18" s="724"/>
      <c r="Q18" s="724">
        <f ca="1">OFFSET(Q18,0,-1)+1</f>
        <v>1</v>
      </c>
      <c r="R18" s="724">
        <f ca="1">OFFSET(R18,0,-1)+1</f>
        <v>2</v>
      </c>
      <c r="S18" s="724">
        <f ca="1">OFFSET(S18,0,-1)+1</f>
        <v>3</v>
      </c>
      <c r="T18" s="1294">
        <f ca="1">OFFSET(T18,0,-1)+1</f>
        <v>4</v>
      </c>
      <c r="U18" s="1294"/>
      <c r="V18" s="724">
        <f ca="1">OFFSET(V18,0,-2)+1</f>
        <v>5</v>
      </c>
      <c r="W18" s="718">
        <f ca="1">OFFSET(W18,0,-1)</f>
        <v>5</v>
      </c>
      <c r="X18" s="724">
        <f ca="1">OFFSET(X18,0,-1)+1</f>
        <v>6</v>
      </c>
      <c r="Y18" s="65"/>
      <c r="Z18" s="65"/>
      <c r="AA18" s="65"/>
      <c r="AB18" s="65"/>
      <c r="AC18" s="65"/>
      <c r="AD18" s="200">
        <v>11</v>
      </c>
    </row>
    <row r="19" spans="1:30" ht="21" customHeight="1">
      <c r="A19" s="766" t="s">
        <v>166</v>
      </c>
      <c r="B19" s="766" t="s">
        <v>167</v>
      </c>
      <c r="C19" s="766" t="s">
        <v>168</v>
      </c>
      <c r="D19" s="766" t="s">
        <v>169</v>
      </c>
      <c r="E19" s="766"/>
      <c r="F19" s="423"/>
      <c r="G19" s="423"/>
      <c r="H19" s="423"/>
      <c r="J19" s="33"/>
      <c r="K19" s="204"/>
      <c r="L19" s="706">
        <f>INDEX(PT_DIFFERENTIATION_NUM_NTAR,MATCH(A19,PT_DIFFERENTIATION_NTAR_ID,0))</f>
        <v>0</v>
      </c>
      <c r="M19" s="64" t="s">
        <v>121</v>
      </c>
      <c r="N19" s="168"/>
      <c r="O19" s="1554" t="str">
        <f>INDEX(PT_DIFFERENTIATION_NTAR,MATCH(A19,PT_DIFFERENTIATION_NTAR_ID,0))</f>
        <v/>
      </c>
      <c r="P19" s="1554"/>
      <c r="Q19" s="1554"/>
      <c r="R19" s="1554"/>
      <c r="S19" s="1554"/>
      <c r="T19" s="1554"/>
      <c r="U19" s="1554"/>
      <c r="V19" s="1554"/>
      <c r="W19" s="1554"/>
      <c r="X19" s="726" t="s">
        <v>396</v>
      </c>
      <c r="Z19" s="66"/>
      <c r="AA19" s="66" t="str">
        <f t="shared" ref="AA19:AA32" si="0">IF(M19="","",M19)</f>
        <v>Наименование тарифа</v>
      </c>
      <c r="AB19" s="66"/>
      <c r="AC19" s="66"/>
      <c r="AD19" s="10">
        <v>20</v>
      </c>
    </row>
    <row r="20" spans="1:30" ht="21" customHeight="1">
      <c r="A20" s="766" t="s">
        <v>166</v>
      </c>
      <c r="B20" s="766" t="s">
        <v>167</v>
      </c>
      <c r="C20" s="766" t="s">
        <v>168</v>
      </c>
      <c r="D20" s="766" t="s">
        <v>169</v>
      </c>
      <c r="E20" s="766"/>
      <c r="F20" s="423"/>
      <c r="G20" s="423"/>
      <c r="H20" s="423"/>
      <c r="I20" s="56"/>
      <c r="J20" s="201"/>
      <c r="K20" s="202"/>
      <c r="L20" s="706" t="str">
        <f>INDEX(PT_DIFFERENTIATION_NUM_TER,MATCH(B19,PT_DIFFERENTIATION_TER_ID,0))</f>
        <v>.</v>
      </c>
      <c r="M20" s="174" t="s">
        <v>397</v>
      </c>
      <c r="N20" s="168"/>
      <c r="O20" s="1554" t="str">
        <f>INDEX(PT_DIFFERENTIATION_TER,MATCH(B19,PT_DIFFERENTIATION_TER_ID,0))</f>
        <v/>
      </c>
      <c r="P20" s="1554"/>
      <c r="Q20" s="1554"/>
      <c r="R20" s="1554"/>
      <c r="S20" s="1554"/>
      <c r="T20" s="1554"/>
      <c r="U20" s="1554"/>
      <c r="V20" s="1554"/>
      <c r="W20" s="1554"/>
      <c r="X20" s="726" t="s">
        <v>398</v>
      </c>
      <c r="Z20" s="66"/>
      <c r="AA20" s="66" t="str">
        <f t="shared" si="0"/>
        <v>Территория действия тарифа</v>
      </c>
      <c r="AB20" s="66"/>
      <c r="AC20" s="66"/>
      <c r="AD20" s="10">
        <v>20</v>
      </c>
    </row>
    <row r="21" spans="1:30" ht="24" customHeight="1">
      <c r="A21" s="766" t="s">
        <v>166</v>
      </c>
      <c r="B21" s="766" t="s">
        <v>167</v>
      </c>
      <c r="C21" s="766" t="s">
        <v>168</v>
      </c>
      <c r="D21" s="766" t="s">
        <v>169</v>
      </c>
      <c r="E21" s="766"/>
      <c r="F21" s="423"/>
      <c r="G21" s="423"/>
      <c r="H21" s="423"/>
      <c r="I21" s="203"/>
      <c r="J21" s="201"/>
      <c r="K21" s="202"/>
      <c r="L21" s="706" t="str">
        <f>INDEX(PT_DIFFERENTIATION_NUM_CS,MATCH(C19,PT_DIFFERENTIATION_CS_ID,0))</f>
        <v>..</v>
      </c>
      <c r="M21" s="175" t="s">
        <v>399</v>
      </c>
      <c r="N21" s="168"/>
      <c r="O21" s="1554" t="str">
        <f>INDEX(PT_DIFFERENTIATION_CS,MATCH(C19,PT_DIFFERENTIATION_CS_ID,0))</f>
        <v/>
      </c>
      <c r="P21" s="1554"/>
      <c r="Q21" s="1554"/>
      <c r="R21" s="1554"/>
      <c r="S21" s="1554"/>
      <c r="T21" s="1554"/>
      <c r="U21" s="1554"/>
      <c r="V21" s="1554"/>
      <c r="W21" s="1554"/>
      <c r="X21" s="726" t="s">
        <v>400</v>
      </c>
      <c r="Z21" s="66"/>
      <c r="AA21" s="66" t="str">
        <f t="shared" si="0"/>
        <v xml:space="preserve">Наименование системы теплоснабжения </v>
      </c>
      <c r="AB21" s="66"/>
      <c r="AC21" s="66"/>
      <c r="AD21" s="10">
        <v>23</v>
      </c>
    </row>
    <row r="22" spans="1:30" ht="21" customHeight="1">
      <c r="A22" s="766" t="s">
        <v>166</v>
      </c>
      <c r="B22" s="766" t="s">
        <v>167</v>
      </c>
      <c r="C22" s="766" t="s">
        <v>168</v>
      </c>
      <c r="D22" s="766" t="s">
        <v>169</v>
      </c>
      <c r="E22" s="766"/>
      <c r="F22" s="423"/>
      <c r="G22" s="423"/>
      <c r="H22" s="423"/>
      <c r="I22" s="203"/>
      <c r="J22" s="201"/>
      <c r="K22" s="202"/>
      <c r="L22" s="706" t="str">
        <f>INDEX(PT_DIFFERENTIATION_NUM_IST_TE,MATCH(D19,PT_DIFFERENTIATION_IST_TE_ID,0))</f>
        <v>...</v>
      </c>
      <c r="M22" s="176" t="s">
        <v>401</v>
      </c>
      <c r="N22" s="168"/>
      <c r="O22" s="1554" t="str">
        <f>INDEX(PT_DIFFERENTIATION_IST_TE,MATCH(D19,PT_DIFFERENTIATION_IST_TE_ID,0))</f>
        <v/>
      </c>
      <c r="P22" s="1554"/>
      <c r="Q22" s="1554"/>
      <c r="R22" s="1554"/>
      <c r="S22" s="1554"/>
      <c r="T22" s="1554"/>
      <c r="U22" s="1554"/>
      <c r="V22" s="1554"/>
      <c r="W22" s="1554"/>
      <c r="X22" s="726" t="s">
        <v>402</v>
      </c>
      <c r="Z22" s="66"/>
      <c r="AA22" s="66" t="str">
        <f t="shared" si="0"/>
        <v xml:space="preserve">Источник тепловой энергии  </v>
      </c>
      <c r="AB22" s="66"/>
      <c r="AC22" s="66"/>
      <c r="AD22" s="10">
        <v>20</v>
      </c>
    </row>
    <row r="23" spans="1:30" ht="96.75" customHeight="1">
      <c r="A23" s="766" t="s">
        <v>166</v>
      </c>
      <c r="B23" s="766" t="s">
        <v>167</v>
      </c>
      <c r="C23" s="766" t="s">
        <v>168</v>
      </c>
      <c r="D23" s="766" t="s">
        <v>169</v>
      </c>
      <c r="E23" s="766"/>
      <c r="F23" s="1261" t="str">
        <f>L22&amp;".1"</f>
        <v>....1</v>
      </c>
      <c r="I23" s="1287">
        <v>1</v>
      </c>
      <c r="J23" s="119"/>
      <c r="K23" s="205"/>
      <c r="L23" s="706" t="str">
        <f>$F$23</f>
        <v>....1</v>
      </c>
      <c r="M23" s="161" t="s">
        <v>404</v>
      </c>
      <c r="N23" s="168"/>
      <c r="O23" s="1317"/>
      <c r="P23" s="1317"/>
      <c r="Q23" s="1317"/>
      <c r="R23" s="1317"/>
      <c r="S23" s="1317"/>
      <c r="T23" s="1317"/>
      <c r="U23" s="1317"/>
      <c r="V23" s="1317"/>
      <c r="W23" s="1317"/>
      <c r="X23" s="726" t="s">
        <v>405</v>
      </c>
      <c r="Z23" s="66"/>
      <c r="AA23" s="66" t="str">
        <f t="shared" si="0"/>
        <v>Схема подключения теплопотребляющей установки к коллектору источника тепловой энергии</v>
      </c>
      <c r="AB23" s="66"/>
      <c r="AC23" s="66"/>
      <c r="AD23" s="10">
        <v>92</v>
      </c>
    </row>
    <row r="24" spans="1:30" ht="86.25" customHeight="1">
      <c r="A24" s="766" t="s">
        <v>166</v>
      </c>
      <c r="B24" s="766" t="s">
        <v>167</v>
      </c>
      <c r="C24" s="766" t="s">
        <v>168</v>
      </c>
      <c r="D24" s="766" t="s">
        <v>169</v>
      </c>
      <c r="E24" s="766"/>
      <c r="F24" s="1261"/>
      <c r="G24" s="1261" t="str">
        <f>F23&amp;".1"</f>
        <v>....1.1</v>
      </c>
      <c r="I24" s="1287"/>
      <c r="J24" s="1287">
        <v>1</v>
      </c>
      <c r="K24" s="206"/>
      <c r="L24" s="706" t="str">
        <f>$G$24</f>
        <v>....1.1</v>
      </c>
      <c r="M24" s="162" t="s">
        <v>407</v>
      </c>
      <c r="N24" s="168"/>
      <c r="O24" s="1271"/>
      <c r="P24" s="1272"/>
      <c r="Q24" s="1272"/>
      <c r="R24" s="1272"/>
      <c r="S24" s="1272"/>
      <c r="T24" s="1272"/>
      <c r="U24" s="1272"/>
      <c r="V24" s="1272"/>
      <c r="W24" s="1273"/>
      <c r="X24" s="726" t="s">
        <v>408</v>
      </c>
      <c r="Z24" s="66"/>
      <c r="AA24" s="66" t="str">
        <f t="shared" si="0"/>
        <v>Группа потребителей</v>
      </c>
      <c r="AB24" s="66"/>
      <c r="AC24" s="66"/>
      <c r="AD24" s="10">
        <v>82</v>
      </c>
    </row>
    <row r="25" spans="1:30" ht="11.45" customHeight="1">
      <c r="A25" s="766" t="s">
        <v>166</v>
      </c>
      <c r="B25" s="766" t="s">
        <v>167</v>
      </c>
      <c r="C25" s="766" t="s">
        <v>168</v>
      </c>
      <c r="D25" s="766" t="s">
        <v>169</v>
      </c>
      <c r="E25" s="766"/>
      <c r="F25" s="1261"/>
      <c r="G25" s="1261"/>
      <c r="H25" s="1261" t="str">
        <f>G24&amp;".1"</f>
        <v>....1.1.1</v>
      </c>
      <c r="I25" s="1287"/>
      <c r="J25" s="1287"/>
      <c r="K25" s="206">
        <v>1</v>
      </c>
      <c r="L25" s="706" t="str">
        <f>$H$25</f>
        <v>....1.1.1</v>
      </c>
      <c r="M25" s="762"/>
      <c r="N25" s="168"/>
      <c r="O25" s="303"/>
      <c r="P25" s="188"/>
      <c r="Q25" s="303"/>
      <c r="R25" s="725"/>
      <c r="S25" s="1288"/>
      <c r="T25" s="1156" t="s">
        <v>64</v>
      </c>
      <c r="U25" s="1288"/>
      <c r="V25" s="1156" t="s">
        <v>19</v>
      </c>
      <c r="W25" s="188"/>
      <c r="X25" s="1306" t="s">
        <v>410</v>
      </c>
      <c r="Y25" s="65" t="e">
        <f ca="1">STRCHECKDATE(O26:W26)</f>
        <v>#NAME?</v>
      </c>
      <c r="Z25" s="66"/>
      <c r="AA25" s="66" t="str">
        <f t="shared" si="0"/>
        <v/>
      </c>
      <c r="AB25" s="66"/>
      <c r="AC25" s="66"/>
      <c r="AD25" s="10">
        <v>11</v>
      </c>
    </row>
    <row r="26" spans="1:30" ht="11.45" customHeight="1">
      <c r="A26" s="766" t="s">
        <v>166</v>
      </c>
      <c r="B26" s="766" t="s">
        <v>167</v>
      </c>
      <c r="C26" s="766" t="s">
        <v>168</v>
      </c>
      <c r="D26" s="766" t="s">
        <v>169</v>
      </c>
      <c r="E26" s="766"/>
      <c r="F26" s="1261"/>
      <c r="G26" s="1261"/>
      <c r="H26" s="1261"/>
      <c r="I26" s="1287"/>
      <c r="J26" s="1287"/>
      <c r="K26" s="206"/>
      <c r="L26" s="62"/>
      <c r="M26" s="168"/>
      <c r="N26" s="168"/>
      <c r="O26" s="188"/>
      <c r="P26" s="188"/>
      <c r="Q26" s="188"/>
      <c r="R26" s="189" t="str">
        <f>S25&amp;"-"&amp;U25</f>
        <v>-</v>
      </c>
      <c r="S26" s="1289"/>
      <c r="T26" s="1156"/>
      <c r="U26" s="1289"/>
      <c r="V26" s="1156"/>
      <c r="W26" s="188"/>
      <c r="X26" s="1307"/>
      <c r="Z26" s="66"/>
      <c r="AA26" s="66" t="str">
        <f t="shared" si="0"/>
        <v/>
      </c>
      <c r="AB26" s="66"/>
      <c r="AC26" s="66"/>
      <c r="AD26" s="10">
        <v>11</v>
      </c>
    </row>
    <row r="27" spans="1:30" ht="15.75" customHeight="1">
      <c r="A27" s="766" t="s">
        <v>166</v>
      </c>
      <c r="B27" s="766" t="s">
        <v>167</v>
      </c>
      <c r="C27" s="766" t="s">
        <v>168</v>
      </c>
      <c r="D27" s="766" t="s">
        <v>169</v>
      </c>
      <c r="E27" s="766"/>
      <c r="F27" s="1261"/>
      <c r="G27" s="1261"/>
      <c r="I27" s="1287"/>
      <c r="J27" s="1287"/>
      <c r="K27" s="205"/>
      <c r="L27" s="739"/>
      <c r="M27" s="164" t="s">
        <v>411</v>
      </c>
      <c r="N27" s="210"/>
      <c r="O27" s="210"/>
      <c r="P27" s="210"/>
      <c r="Q27" s="210"/>
      <c r="R27" s="210"/>
      <c r="S27" s="210"/>
      <c r="T27" s="210"/>
      <c r="U27" s="210"/>
      <c r="V27" s="210"/>
      <c r="W27" s="187"/>
      <c r="X27" s="1308"/>
      <c r="Z27" s="66"/>
      <c r="AA27" s="66" t="str">
        <f t="shared" si="0"/>
        <v>Добавить вид теплоносителя (параметры теплоносителя)</v>
      </c>
      <c r="AB27" s="66"/>
      <c r="AC27" s="66"/>
      <c r="AD27" s="10">
        <v>15</v>
      </c>
    </row>
    <row r="28" spans="1:30" ht="15.75" customHeight="1">
      <c r="A28" s="766" t="s">
        <v>166</v>
      </c>
      <c r="B28" s="766" t="s">
        <v>167</v>
      </c>
      <c r="C28" s="766" t="s">
        <v>168</v>
      </c>
      <c r="D28" s="766" t="s">
        <v>169</v>
      </c>
      <c r="E28" s="766"/>
      <c r="F28" s="1261"/>
      <c r="I28" s="1287"/>
      <c r="J28" s="119"/>
      <c r="K28" s="205"/>
      <c r="L28" s="739"/>
      <c r="M28" s="163" t="s">
        <v>412</v>
      </c>
      <c r="N28" s="210"/>
      <c r="O28" s="210"/>
      <c r="P28" s="210"/>
      <c r="Q28" s="210"/>
      <c r="R28" s="210"/>
      <c r="S28" s="210"/>
      <c r="T28" s="210"/>
      <c r="U28" s="210"/>
      <c r="V28" s="209"/>
      <c r="W28" s="210"/>
      <c r="X28" s="171"/>
      <c r="Z28" s="66"/>
      <c r="AA28" s="66" t="str">
        <f t="shared" si="0"/>
        <v>Добавить группу потребителей</v>
      </c>
      <c r="AB28" s="66"/>
      <c r="AC28" s="66"/>
      <c r="AD28" s="10">
        <v>15</v>
      </c>
    </row>
    <row r="29" spans="1:30" ht="14.65" customHeight="1">
      <c r="A29" s="766" t="s">
        <v>166</v>
      </c>
      <c r="B29" s="766" t="s">
        <v>167</v>
      </c>
      <c r="C29" s="766" t="s">
        <v>168</v>
      </c>
      <c r="D29" s="766" t="s">
        <v>169</v>
      </c>
      <c r="E29" s="766"/>
      <c r="F29" s="423"/>
      <c r="G29" s="423"/>
      <c r="H29" s="60"/>
      <c r="I29" s="33"/>
      <c r="J29" s="213"/>
      <c r="K29" s="204"/>
      <c r="L29" s="739"/>
      <c r="M29" s="208" t="s">
        <v>413</v>
      </c>
      <c r="N29" s="210"/>
      <c r="O29" s="210"/>
      <c r="P29" s="210"/>
      <c r="Q29" s="210"/>
      <c r="R29" s="210"/>
      <c r="S29" s="210"/>
      <c r="T29" s="210"/>
      <c r="U29" s="210"/>
      <c r="V29" s="209"/>
      <c r="W29" s="210"/>
      <c r="X29" s="171"/>
      <c r="Z29" s="66"/>
      <c r="AA29" s="66" t="str">
        <f t="shared" si="0"/>
        <v>Добавить схему подключения</v>
      </c>
      <c r="AB29" s="66"/>
      <c r="AC29" s="66"/>
      <c r="AD29" s="10">
        <v>14</v>
      </c>
    </row>
    <row r="30" spans="1:30" ht="14.65" customHeight="1">
      <c r="A30" s="766" t="s">
        <v>166</v>
      </c>
      <c r="B30" s="766" t="s">
        <v>167</v>
      </c>
      <c r="C30" s="766" t="s">
        <v>168</v>
      </c>
      <c r="D30" s="766"/>
      <c r="E30" s="766" t="s">
        <v>585</v>
      </c>
      <c r="F30" s="423"/>
      <c r="G30" s="423"/>
      <c r="H30" s="60"/>
      <c r="I30" s="33"/>
      <c r="J30" s="213"/>
      <c r="K30" s="204"/>
      <c r="L30" s="740"/>
      <c r="M30" s="729"/>
      <c r="N30" s="730"/>
      <c r="O30" s="730"/>
      <c r="P30" s="730"/>
      <c r="Q30" s="730"/>
      <c r="R30" s="730"/>
      <c r="S30" s="730"/>
      <c r="T30" s="730"/>
      <c r="U30" s="730"/>
      <c r="V30" s="731"/>
      <c r="W30" s="730"/>
      <c r="X30" s="732"/>
      <c r="Z30" s="66"/>
      <c r="AA30" s="66" t="str">
        <f t="shared" si="0"/>
        <v/>
      </c>
      <c r="AB30" s="66"/>
      <c r="AC30" s="66"/>
      <c r="AD30" s="10">
        <v>14</v>
      </c>
    </row>
    <row r="31" spans="1:30" ht="14.65" customHeight="1">
      <c r="A31" s="766" t="s">
        <v>166</v>
      </c>
      <c r="B31" s="766" t="s">
        <v>167</v>
      </c>
      <c r="C31" s="766"/>
      <c r="D31" s="766"/>
      <c r="E31" s="766" t="s">
        <v>2228</v>
      </c>
      <c r="F31" s="828"/>
      <c r="G31" s="828"/>
      <c r="H31" s="60"/>
      <c r="I31" s="45"/>
      <c r="J31" s="213"/>
      <c r="K31" s="207"/>
      <c r="L31" s="740"/>
      <c r="M31" s="733"/>
      <c r="N31" s="730"/>
      <c r="O31" s="730"/>
      <c r="P31" s="730"/>
      <c r="Q31" s="730"/>
      <c r="R31" s="730"/>
      <c r="S31" s="730"/>
      <c r="T31" s="730"/>
      <c r="U31" s="730"/>
      <c r="V31" s="731"/>
      <c r="W31" s="730"/>
      <c r="X31" s="732"/>
      <c r="Z31" s="66"/>
      <c r="AA31" s="66" t="str">
        <f t="shared" si="0"/>
        <v/>
      </c>
      <c r="AB31" s="66"/>
      <c r="AC31" s="66"/>
      <c r="AD31" s="10">
        <v>14</v>
      </c>
    </row>
    <row r="32" spans="1:30" ht="14.65" customHeight="1">
      <c r="A32" s="766" t="s">
        <v>2229</v>
      </c>
      <c r="B32" s="766"/>
      <c r="C32" s="766"/>
      <c r="D32" s="766"/>
      <c r="E32" s="766" t="s">
        <v>102</v>
      </c>
      <c r="F32" s="828"/>
      <c r="G32" s="828"/>
      <c r="H32" s="60"/>
      <c r="I32" s="33"/>
      <c r="J32" s="213"/>
      <c r="K32" s="204"/>
      <c r="L32" s="740"/>
      <c r="M32" s="734"/>
      <c r="N32" s="730"/>
      <c r="O32" s="730"/>
      <c r="P32" s="730"/>
      <c r="Q32" s="730"/>
      <c r="R32" s="730"/>
      <c r="S32" s="730"/>
      <c r="T32" s="730"/>
      <c r="U32" s="730"/>
      <c r="V32" s="731"/>
      <c r="W32" s="730"/>
      <c r="X32" s="732"/>
      <c r="Z32" s="66"/>
      <c r="AA32" s="66" t="str">
        <f t="shared" si="0"/>
        <v/>
      </c>
      <c r="AB32" s="66"/>
      <c r="AC32" s="66"/>
      <c r="AD32" s="10">
        <v>14</v>
      </c>
    </row>
    <row r="33" spans="1:30" ht="11.45" customHeight="1">
      <c r="A33" s="766"/>
      <c r="B33" s="766"/>
      <c r="C33" s="766"/>
      <c r="D33" s="766"/>
      <c r="E33" s="766" t="s">
        <v>233</v>
      </c>
      <c r="F33" s="828"/>
      <c r="G33" s="832"/>
      <c r="H33" s="60"/>
      <c r="I33"/>
      <c r="J33"/>
      <c r="K33"/>
      <c r="L33" s="741"/>
      <c r="M33" s="735"/>
      <c r="N33" s="730"/>
      <c r="O33" s="730"/>
      <c r="P33" s="730"/>
      <c r="Q33" s="730"/>
      <c r="R33" s="730"/>
      <c r="S33" s="730"/>
      <c r="T33" s="730"/>
      <c r="U33" s="730"/>
      <c r="V33" s="731"/>
      <c r="W33" s="730"/>
      <c r="X33" s="732"/>
      <c r="Y33" s="101"/>
      <c r="Z33" s="101"/>
      <c r="AA33" s="101"/>
      <c r="AB33" s="101"/>
      <c r="AC33" s="101"/>
      <c r="AD33">
        <v>11</v>
      </c>
    </row>
    <row r="34" spans="1:30" ht="11.45" customHeight="1">
      <c r="F34" s="60"/>
      <c r="G34" s="60"/>
      <c r="H34" s="60"/>
      <c r="I34" s="10"/>
      <c r="J34" s="10"/>
      <c r="K34" s="10"/>
      <c r="Y34" s="10"/>
      <c r="Z34" s="10"/>
      <c r="AA34" s="10"/>
      <c r="AB34" s="10"/>
      <c r="AC34" s="10"/>
      <c r="AD34" s="10">
        <v>11</v>
      </c>
    </row>
    <row r="35" spans="1:30" ht="28.5" customHeight="1">
      <c r="H35" s="60"/>
      <c r="L35" s="370" t="s">
        <v>802</v>
      </c>
      <c r="M35" s="1282" t="s">
        <v>2230</v>
      </c>
      <c r="N35" s="1282"/>
      <c r="O35" s="1282"/>
      <c r="P35" s="1282"/>
      <c r="Q35" s="1282"/>
      <c r="R35" s="1282"/>
      <c r="S35" s="1282"/>
      <c r="T35" s="1282"/>
      <c r="U35" s="1282"/>
      <c r="V35" s="1282"/>
      <c r="W35" s="1282"/>
      <c r="X35" s="1282"/>
      <c r="AD35" s="10">
        <v>27</v>
      </c>
    </row>
    <row r="36" spans="1:30" ht="109.15" customHeight="1">
      <c r="H36" s="60"/>
      <c r="M36" s="1282" t="s">
        <v>2231</v>
      </c>
      <c r="N36" s="1282"/>
      <c r="O36" s="1282"/>
      <c r="P36" s="1282"/>
      <c r="Q36" s="1282"/>
      <c r="R36" s="1282"/>
      <c r="S36" s="1282"/>
      <c r="T36" s="1282"/>
      <c r="U36" s="1282"/>
      <c r="V36" s="1282"/>
      <c r="W36" s="1282"/>
      <c r="X36" s="1282"/>
      <c r="AD36" s="10">
        <v>104</v>
      </c>
    </row>
    <row r="37" spans="1:30" ht="14.65" customHeight="1">
      <c r="H37" s="60"/>
      <c r="AD37" s="10">
        <v>14</v>
      </c>
    </row>
    <row r="38" spans="1:30" ht="14.65" customHeight="1">
      <c r="H38" s="60"/>
      <c r="AD38" s="10">
        <v>14</v>
      </c>
    </row>
    <row r="39" spans="1:30" ht="14.65" customHeight="1">
      <c r="H39" s="60"/>
      <c r="AD39" s="10">
        <v>14</v>
      </c>
    </row>
    <row r="40" spans="1:30" ht="14.65" customHeight="1">
      <c r="H40" s="60"/>
      <c r="AD40" s="10">
        <v>14</v>
      </c>
    </row>
    <row r="41" spans="1:30" ht="22.5" hidden="1" customHeight="1">
      <c r="A41" s="60" t="s">
        <v>80</v>
      </c>
      <c r="B41" s="60">
        <v>0</v>
      </c>
      <c r="C41" s="60">
        <v>0</v>
      </c>
      <c r="D41" s="60">
        <v>0</v>
      </c>
      <c r="E41" s="60">
        <v>0</v>
      </c>
      <c r="F41" s="503">
        <v>0</v>
      </c>
      <c r="G41" s="503">
        <v>0</v>
      </c>
      <c r="H41" s="503">
        <v>0</v>
      </c>
      <c r="I41" s="32">
        <v>3</v>
      </c>
      <c r="J41" s="28">
        <v>3</v>
      </c>
      <c r="K41" s="28">
        <v>3</v>
      </c>
      <c r="L41" s="339">
        <v>12</v>
      </c>
      <c r="M41" s="10">
        <v>31</v>
      </c>
      <c r="N41" s="10">
        <v>1</v>
      </c>
      <c r="O41" s="10">
        <v>24</v>
      </c>
      <c r="P41" s="10">
        <v>24</v>
      </c>
      <c r="Q41" s="10">
        <v>24</v>
      </c>
      <c r="R41" s="10">
        <v>24</v>
      </c>
      <c r="S41" s="10">
        <v>11</v>
      </c>
      <c r="T41" s="10">
        <v>3</v>
      </c>
      <c r="U41" s="10">
        <v>11</v>
      </c>
      <c r="V41" s="10">
        <v>8</v>
      </c>
      <c r="W41" s="10">
        <v>4</v>
      </c>
      <c r="X41" s="10">
        <v>115</v>
      </c>
      <c r="Y41" s="65">
        <v>10</v>
      </c>
      <c r="Z41" s="65">
        <v>10</v>
      </c>
      <c r="AA41" s="65">
        <v>10</v>
      </c>
      <c r="AB41" s="65">
        <v>10</v>
      </c>
      <c r="AC41" s="65">
        <v>10</v>
      </c>
      <c r="AD41" s="1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6" hidden="1" customWidth="1"/>
    <col min="2" max="2" width="15" style="285" hidden="1" customWidth="1"/>
    <col min="3" max="3" width="3" style="251" customWidth="1"/>
    <col min="4" max="4" width="6" style="252" customWidth="1"/>
    <col min="5" max="5" width="52" style="251" customWidth="1"/>
    <col min="6" max="6" width="48" style="251" customWidth="1"/>
    <col min="7" max="7" width="121" style="251" customWidth="1"/>
    <col min="8" max="8" width="8" style="251" customWidth="1"/>
    <col min="9" max="9" width="64" style="251" customWidth="1"/>
    <col min="10" max="10" width="9.140625" style="251" hidden="1"/>
  </cols>
  <sheetData>
    <row r="1" spans="1:10" ht="11.25" hidden="1" customHeight="1">
      <c r="A1" s="6" t="s">
        <v>299</v>
      </c>
      <c r="J1" s="251" t="s">
        <v>14</v>
      </c>
    </row>
    <row r="2" spans="1:10" ht="11.25" hidden="1" customHeight="1">
      <c r="J2" s="251">
        <v>0</v>
      </c>
    </row>
    <row r="3" spans="1:10" s="269" customFormat="1" ht="11.45" customHeight="1">
      <c r="A3" s="6"/>
      <c r="B3" s="285"/>
      <c r="D3" s="270"/>
      <c r="J3" s="269">
        <v>11</v>
      </c>
    </row>
    <row r="4" spans="1:10" ht="27.4" customHeight="1">
      <c r="D4" s="1196" t="str">
        <f>ORG_INFO_NAME_FORM</f>
        <v>Форма 1. Информация об организации, осуществляющей холодное водоснабжение (общая информация)</v>
      </c>
      <c r="E4" s="1197"/>
      <c r="F4" s="1198"/>
      <c r="I4" s="410"/>
      <c r="J4" s="251">
        <v>26</v>
      </c>
    </row>
    <row r="5" spans="1:10" ht="18" customHeight="1">
      <c r="D5" s="1236" t="str">
        <f>IF(org=0,"Не определено",org)</f>
        <v>Общество с ограниченной ответственностью "Березовский рудник"</v>
      </c>
      <c r="E5" s="1236"/>
      <c r="F5" s="1236"/>
      <c r="I5" s="410"/>
      <c r="J5" s="251">
        <v>17</v>
      </c>
    </row>
    <row r="6" spans="1:10" s="269" customFormat="1" ht="11.45" customHeight="1">
      <c r="A6" s="6"/>
      <c r="B6" s="285"/>
      <c r="D6" s="409"/>
      <c r="E6" s="409"/>
      <c r="F6" s="432"/>
      <c r="G6" s="409"/>
      <c r="J6" s="269">
        <v>11</v>
      </c>
    </row>
    <row r="7" spans="1:10" ht="11.25" hidden="1" customHeight="1">
      <c r="A7" s="9"/>
      <c r="B7" s="286"/>
      <c r="C7" s="9"/>
      <c r="D7" s="13"/>
      <c r="E7" s="1242"/>
      <c r="F7" s="1242"/>
      <c r="J7" s="251">
        <v>0</v>
      </c>
    </row>
    <row r="8" spans="1:10" ht="11.45" customHeight="1">
      <c r="A8" s="9"/>
      <c r="B8" s="286"/>
      <c r="C8" s="9"/>
      <c r="D8" s="1239" t="s">
        <v>300</v>
      </c>
      <c r="E8" s="1240"/>
      <c r="F8" s="1240"/>
      <c r="G8" s="1243" t="s">
        <v>301</v>
      </c>
      <c r="J8" s="251">
        <v>11</v>
      </c>
    </row>
    <row r="9" spans="1:10" ht="11.45" customHeight="1">
      <c r="A9" s="9"/>
      <c r="B9" s="286"/>
      <c r="C9" s="9"/>
      <c r="D9" s="265" t="s">
        <v>86</v>
      </c>
      <c r="E9" s="249" t="s">
        <v>302</v>
      </c>
      <c r="F9" s="249" t="s">
        <v>303</v>
      </c>
      <c r="G9" s="1244"/>
      <c r="J9" s="251">
        <v>11</v>
      </c>
    </row>
    <row r="10" spans="1:10" ht="12" hidden="1" customHeight="1">
      <c r="A10" s="9"/>
      <c r="B10" s="286"/>
      <c r="C10" s="9"/>
      <c r="D10" s="258"/>
      <c r="E10" s="258"/>
      <c r="F10" s="258"/>
      <c r="G10" s="258"/>
      <c r="J10" s="251">
        <v>0</v>
      </c>
    </row>
    <row r="11" spans="1:10" ht="22.5" hidden="1" customHeight="1">
      <c r="A11" s="9"/>
      <c r="B11" s="286"/>
      <c r="C11" s="9"/>
      <c r="D11" s="589" t="s">
        <v>107</v>
      </c>
      <c r="E11" s="314" t="s">
        <v>304</v>
      </c>
      <c r="F11" s="359" t="str">
        <f>IF(region_name="","",region_name)</f>
        <v>Свердловская область</v>
      </c>
      <c r="G11" s="314" t="s">
        <v>305</v>
      </c>
      <c r="H11" s="267"/>
      <c r="J11" s="251">
        <v>0</v>
      </c>
    </row>
    <row r="12" spans="1:10" ht="22.5" hidden="1" customHeight="1">
      <c r="A12" s="9"/>
      <c r="B12" s="286"/>
      <c r="C12" s="9"/>
      <c r="D12" s="248" t="s">
        <v>107</v>
      </c>
      <c r="E12" s="24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 t="s">
        <v>306</v>
      </c>
      <c r="G12" s="266"/>
      <c r="H12" s="267"/>
      <c r="J12" s="251">
        <v>0</v>
      </c>
    </row>
    <row r="13" spans="1:10" ht="23.25" customHeight="1">
      <c r="A13" s="9"/>
      <c r="B13" s="286"/>
      <c r="C13" s="9"/>
      <c r="D13" s="248" t="s">
        <v>107</v>
      </c>
      <c r="E13" s="246" t="str">
        <f>"Наименование юридического лица"&amp;IF(TEMPLATE_SPHERE="TKO"," (индивидуального предпринимателя)","")</f>
        <v>Наименование юридического лица</v>
      </c>
      <c r="F13" s="245"/>
      <c r="G13" s="24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67"/>
      <c r="J13" s="251">
        <v>22</v>
      </c>
    </row>
    <row r="14" spans="1:10" ht="22.5" hidden="1" customHeight="1">
      <c r="A14" s="9"/>
      <c r="B14" s="286"/>
      <c r="C14" s="9"/>
      <c r="D14" s="589" t="s">
        <v>307</v>
      </c>
      <c r="E14" s="590" t="s">
        <v>308</v>
      </c>
      <c r="F14" s="359" t="str">
        <f>IF(inn="","",inn)</f>
        <v>6604011599</v>
      </c>
      <c r="G14" s="314" t="s">
        <v>309</v>
      </c>
      <c r="H14" s="267"/>
      <c r="J14" s="251">
        <v>0</v>
      </c>
    </row>
    <row r="15" spans="1:10" ht="22.5" hidden="1" customHeight="1">
      <c r="A15" s="9"/>
      <c r="B15" s="286"/>
      <c r="C15" s="9"/>
      <c r="D15" s="589" t="s">
        <v>310</v>
      </c>
      <c r="E15" s="590" t="s">
        <v>311</v>
      </c>
      <c r="F15" s="359" t="str">
        <f>IF(kpp="","",kpp)</f>
        <v>667801001</v>
      </c>
      <c r="G15" s="314" t="s">
        <v>312</v>
      </c>
      <c r="H15" s="267"/>
      <c r="J15" s="251">
        <v>0</v>
      </c>
    </row>
    <row r="16" spans="1:10" ht="39" customHeight="1">
      <c r="A16" s="9"/>
      <c r="B16" s="286"/>
      <c r="C16" s="9"/>
      <c r="D16" s="248" t="s">
        <v>108</v>
      </c>
      <c r="E16" s="24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5"/>
      <c r="G16" s="24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7"/>
      <c r="J16" s="251">
        <v>37</v>
      </c>
    </row>
    <row r="17" spans="1:10" ht="23.25" customHeight="1">
      <c r="A17" s="9"/>
      <c r="B17" s="286"/>
      <c r="C17" s="9"/>
      <c r="D17" s="248" t="s">
        <v>88</v>
      </c>
      <c r="E17" s="246" t="str">
        <f>"Дата присвоения ОГРН"&amp;IF(TEMPLATE_SPHERE="TKO",""," (ОГРНИП)")</f>
        <v>Дата присвоения ОГРН (ОГРНИП)</v>
      </c>
      <c r="F17" s="940" t="s">
        <v>28</v>
      </c>
      <c r="G17" s="247" t="str">
        <f>"Дата присвоения ОГРН"&amp;IF(TEMPLATE_SPHERE="TKO",""," (ОГРНИП)")&amp;" указывается в виде «ДД.ММ.ГГГГ»."</f>
        <v>Дата присвоения ОГРН (ОГРНИП) указывается в виде «ДД.ММ.ГГГГ».</v>
      </c>
      <c r="H17" s="267"/>
      <c r="J17" s="251">
        <v>22</v>
      </c>
    </row>
    <row r="18" spans="1:10" ht="71.25" customHeight="1">
      <c r="A18" s="9"/>
      <c r="B18" s="286"/>
      <c r="C18" s="9"/>
      <c r="D18" s="248" t="s">
        <v>89</v>
      </c>
      <c r="E18" s="24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5"/>
      <c r="G18" s="266"/>
      <c r="H18" s="267"/>
      <c r="J18" s="251">
        <v>68</v>
      </c>
    </row>
    <row r="19" spans="1:10" ht="22.5" hidden="1" customHeight="1">
      <c r="A19" s="1237" t="s">
        <v>313</v>
      </c>
      <c r="B19" s="286"/>
      <c r="C19" s="1248"/>
      <c r="D19" s="248" t="str">
        <f>A19</f>
        <v>5.1</v>
      </c>
      <c r="E19" s="246" t="s">
        <v>314</v>
      </c>
      <c r="F19" s="38" t="s">
        <v>306</v>
      </c>
      <c r="G19" s="247" t="s">
        <v>315</v>
      </c>
      <c r="H19" s="267"/>
      <c r="I19" s="486"/>
      <c r="J19" s="251">
        <v>0</v>
      </c>
    </row>
    <row r="20" spans="1:10" ht="24" hidden="1" customHeight="1">
      <c r="A20" s="1237"/>
      <c r="B20" s="286"/>
      <c r="C20" s="1248"/>
      <c r="D20" s="244" t="str">
        <f>D19&amp;".1"</f>
        <v>5.1.1</v>
      </c>
      <c r="E20" s="243" t="s">
        <v>316</v>
      </c>
      <c r="F20" s="507" t="s">
        <v>28</v>
      </c>
      <c r="G20" s="266"/>
      <c r="H20" s="267"/>
      <c r="I20" s="486"/>
      <c r="J20" s="251">
        <v>0</v>
      </c>
    </row>
    <row r="21" spans="1:10" ht="22.5" hidden="1" customHeight="1">
      <c r="A21" s="1237"/>
      <c r="B21" s="286"/>
      <c r="C21" s="1248"/>
      <c r="D21" s="244" t="str">
        <f>D19&amp;".2"</f>
        <v>5.1.2</v>
      </c>
      <c r="E21" s="243" t="s">
        <v>317</v>
      </c>
      <c r="F21" s="941" t="s">
        <v>28</v>
      </c>
      <c r="G21" s="247" t="s">
        <v>318</v>
      </c>
      <c r="H21" s="267"/>
      <c r="I21" s="486"/>
      <c r="J21" s="251">
        <v>0</v>
      </c>
    </row>
    <row r="22" spans="1:10" ht="22.5" hidden="1" customHeight="1">
      <c r="A22" s="1237"/>
      <c r="B22" s="286"/>
      <c r="C22" s="1248"/>
      <c r="D22" s="244" t="str">
        <f>D19&amp;".3"</f>
        <v>5.1.3</v>
      </c>
      <c r="E22" s="243" t="s">
        <v>319</v>
      </c>
      <c r="F22" s="507" t="s">
        <v>28</v>
      </c>
      <c r="G22" s="266"/>
      <c r="H22" s="267"/>
      <c r="I22" s="486"/>
      <c r="J22" s="251">
        <v>0</v>
      </c>
    </row>
    <row r="23" spans="1:10" ht="22.5" hidden="1" customHeight="1">
      <c r="A23" s="1237"/>
      <c r="B23" s="286"/>
      <c r="C23" s="1248"/>
      <c r="D23" s="244" t="str">
        <f>D19&amp;".4"</f>
        <v>5.1.4</v>
      </c>
      <c r="E23" s="243" t="s">
        <v>320</v>
      </c>
      <c r="F23" s="507" t="s">
        <v>28</v>
      </c>
      <c r="G23" s="247" t="s">
        <v>321</v>
      </c>
      <c r="H23" s="267"/>
      <c r="I23" s="486"/>
      <c r="J23" s="251">
        <v>0</v>
      </c>
    </row>
    <row r="24" spans="1:10" ht="22.5" hidden="1" customHeight="1">
      <c r="A24" s="1050"/>
      <c r="B24" s="286"/>
      <c r="C24" s="279"/>
      <c r="D24" s="260"/>
      <c r="E24" s="107" t="s">
        <v>322</v>
      </c>
      <c r="F24" s="261"/>
      <c r="G24" s="262"/>
      <c r="H24" s="267"/>
      <c r="I24" s="486"/>
      <c r="J24" s="251">
        <v>0</v>
      </c>
    </row>
    <row r="25" spans="1:10" s="285" customFormat="1" ht="24.75" hidden="1" customHeight="1">
      <c r="A25" s="9"/>
      <c r="B25" s="286"/>
      <c r="C25" s="286"/>
      <c r="D25" s="586" t="s">
        <v>88</v>
      </c>
      <c r="E25" s="588" t="s">
        <v>323</v>
      </c>
      <c r="F25" s="313" t="s">
        <v>306</v>
      </c>
      <c r="G25" s="588"/>
      <c r="J25" s="285">
        <v>0</v>
      </c>
    </row>
    <row r="26" spans="1:10" s="285" customFormat="1" ht="11.25" hidden="1" customHeight="1">
      <c r="A26" s="9"/>
      <c r="B26" s="286"/>
      <c r="C26" s="286"/>
      <c r="D26" s="586" t="s">
        <v>324</v>
      </c>
      <c r="E26" s="587" t="s">
        <v>325</v>
      </c>
      <c r="F26" s="313" t="s">
        <v>306</v>
      </c>
      <c r="G26" s="588"/>
      <c r="J26" s="285">
        <v>0</v>
      </c>
    </row>
    <row r="27" spans="1:10" s="285" customFormat="1" ht="11.25" hidden="1" customHeight="1">
      <c r="A27" s="9"/>
      <c r="B27" s="286"/>
      <c r="C27" s="286"/>
      <c r="D27" s="586" t="s">
        <v>326</v>
      </c>
      <c r="E27" s="591" t="s">
        <v>327</v>
      </c>
      <c r="F27" s="592"/>
      <c r="G27" s="58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285">
        <v>0</v>
      </c>
    </row>
    <row r="28" spans="1:10" s="285" customFormat="1" ht="11.25" hidden="1" customHeight="1">
      <c r="A28" s="9"/>
      <c r="B28" s="286"/>
      <c r="C28" s="286"/>
      <c r="D28" s="586" t="s">
        <v>328</v>
      </c>
      <c r="E28" s="591" t="s">
        <v>329</v>
      </c>
      <c r="F28" s="592"/>
      <c r="G28" s="58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285">
        <v>0</v>
      </c>
    </row>
    <row r="29" spans="1:10" s="285" customFormat="1" ht="11.25" hidden="1" customHeight="1">
      <c r="A29" s="9"/>
      <c r="B29" s="286"/>
      <c r="C29" s="286"/>
      <c r="D29" s="586" t="s">
        <v>330</v>
      </c>
      <c r="E29" s="591" t="s">
        <v>331</v>
      </c>
      <c r="F29" s="592"/>
      <c r="G29" s="58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285">
        <v>0</v>
      </c>
    </row>
    <row r="30" spans="1:10" s="285" customFormat="1" ht="11.25" hidden="1" customHeight="1">
      <c r="A30" s="9"/>
      <c r="B30" s="286"/>
      <c r="C30" s="286"/>
      <c r="D30" s="586" t="s">
        <v>332</v>
      </c>
      <c r="E30" s="587" t="s">
        <v>333</v>
      </c>
      <c r="F30" s="592"/>
      <c r="G30" s="588"/>
      <c r="J30" s="285">
        <v>0</v>
      </c>
    </row>
    <row r="31" spans="1:10" s="285" customFormat="1" ht="11.25" hidden="1" customHeight="1">
      <c r="A31" s="9"/>
      <c r="B31" s="286"/>
      <c r="C31" s="286"/>
      <c r="D31" s="586" t="s">
        <v>334</v>
      </c>
      <c r="E31" s="587" t="s">
        <v>335</v>
      </c>
      <c r="F31" s="592"/>
      <c r="G31" s="588"/>
      <c r="J31" s="285">
        <v>0</v>
      </c>
    </row>
    <row r="32" spans="1:10" s="285" customFormat="1" ht="11.25" hidden="1" customHeight="1">
      <c r="A32" s="9"/>
      <c r="B32" s="286"/>
      <c r="C32" s="286"/>
      <c r="D32" s="586" t="s">
        <v>336</v>
      </c>
      <c r="E32" s="587" t="s">
        <v>337</v>
      </c>
      <c r="F32" s="592"/>
      <c r="G32" s="588"/>
      <c r="J32" s="285">
        <v>0</v>
      </c>
    </row>
    <row r="33" spans="1:10" ht="24" customHeight="1">
      <c r="A33" s="9" t="str">
        <f>IF(TEMPLATE_SPHERE="HEAT","6","5")</f>
        <v>5</v>
      </c>
      <c r="B33" s="286"/>
      <c r="C33" s="9"/>
      <c r="D33" s="244" t="str">
        <f>A33</f>
        <v>5</v>
      </c>
      <c r="E33" s="24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 t="s">
        <v>306</v>
      </c>
      <c r="G33" s="266"/>
      <c r="H33" s="267"/>
      <c r="J33" s="251">
        <v>23</v>
      </c>
    </row>
    <row r="34" spans="1:10" ht="23.25" customHeight="1">
      <c r="A34" s="9"/>
      <c r="B34" s="286"/>
      <c r="C34" s="9"/>
      <c r="D34" s="244" t="str">
        <f>D33&amp;".1"</f>
        <v>5.1</v>
      </c>
      <c r="E34" s="246" t="str">
        <f>"фамилия"&amp;IF(TEMPLATE_SPHERE&lt;&gt;"HEAT"," руководителя","")</f>
        <v>фамилия руководителя</v>
      </c>
      <c r="F34" s="245"/>
      <c r="G34" s="24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67"/>
      <c r="J34" s="251">
        <v>22</v>
      </c>
    </row>
    <row r="35" spans="1:10" ht="23.25" customHeight="1">
      <c r="A35" s="9"/>
      <c r="B35" s="286"/>
      <c r="C35" s="9"/>
      <c r="D35" s="244" t="str">
        <f>D33&amp;".2"</f>
        <v>5.2</v>
      </c>
      <c r="E35" s="246" t="str">
        <f>"имя"&amp;IF(TEMPLATE_SPHERE&lt;&gt;"HEAT"," руководителя","")</f>
        <v>имя руководителя</v>
      </c>
      <c r="F35" s="245"/>
      <c r="G35" s="24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67"/>
      <c r="J35" s="251">
        <v>22</v>
      </c>
    </row>
    <row r="36" spans="1:10" ht="24" customHeight="1">
      <c r="A36" s="9"/>
      <c r="B36" s="286"/>
      <c r="C36" s="9"/>
      <c r="D36" s="244" t="str">
        <f>D33&amp;".3"</f>
        <v>5.3</v>
      </c>
      <c r="E36" s="246" t="str">
        <f>"отчество"&amp;IF(TEMPLATE_SPHERE&lt;&gt;"HEAT"," руководителя","")</f>
        <v>отчество руководителя</v>
      </c>
      <c r="F36" s="399"/>
      <c r="G36" s="24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67"/>
      <c r="J36" s="251">
        <v>23</v>
      </c>
    </row>
    <row r="37" spans="1:10" ht="35.65" customHeight="1">
      <c r="A37" s="9"/>
      <c r="B37" s="286"/>
      <c r="C37" s="9"/>
      <c r="D37" s="244">
        <f>D33+1</f>
        <v>6</v>
      </c>
      <c r="E37" s="24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5"/>
      <c r="G37" s="247" t="s">
        <v>338</v>
      </c>
      <c r="H37" s="267"/>
      <c r="J37" s="251">
        <v>34</v>
      </c>
    </row>
    <row r="38" spans="1:10" ht="35.65" customHeight="1">
      <c r="A38" s="9"/>
      <c r="B38" s="286"/>
      <c r="C38" s="9"/>
      <c r="D38" s="244">
        <f>D37+1</f>
        <v>7</v>
      </c>
      <c r="E38" s="24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5"/>
      <c r="G38" s="247" t="s">
        <v>338</v>
      </c>
      <c r="H38" s="267"/>
      <c r="J38" s="251">
        <v>34</v>
      </c>
    </row>
    <row r="39" spans="1:10" ht="23.25" customHeight="1">
      <c r="A39" s="9"/>
      <c r="B39" s="286"/>
      <c r="C39" s="9"/>
      <c r="D39" s="244">
        <f>D38+1</f>
        <v>8</v>
      </c>
      <c r="E39" s="24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 t="s">
        <v>306</v>
      </c>
      <c r="G39" s="124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7"/>
      <c r="J39" s="251">
        <v>22</v>
      </c>
    </row>
    <row r="40" spans="1:10" ht="22.5" hidden="1" customHeight="1">
      <c r="A40" s="9"/>
      <c r="B40" s="286"/>
      <c r="C40" s="9"/>
      <c r="D40" s="244" t="str">
        <f>D39&amp;".0"</f>
        <v>8.0</v>
      </c>
      <c r="E40" s="391"/>
      <c r="F40" s="507"/>
      <c r="G40" s="1246"/>
      <c r="H40" s="267"/>
      <c r="J40" s="251">
        <v>0</v>
      </c>
    </row>
    <row r="41" spans="1:10" ht="23.25" customHeight="1">
      <c r="A41" s="9"/>
      <c r="B41" s="9"/>
      <c r="C41" s="22"/>
      <c r="D41" s="244" t="str">
        <f>D39&amp;".1"</f>
        <v>8.1</v>
      </c>
      <c r="E41" s="494"/>
      <c r="F41" s="398"/>
      <c r="G41" s="1246"/>
      <c r="H41" s="267"/>
      <c r="J41" s="251">
        <v>22</v>
      </c>
    </row>
    <row r="42" spans="1:10" ht="15.75" customHeight="1">
      <c r="A42" s="9"/>
      <c r="B42" s="286"/>
      <c r="C42" s="9"/>
      <c r="D42" s="260"/>
      <c r="E42" s="107" t="s">
        <v>339</v>
      </c>
      <c r="F42" s="262"/>
      <c r="G42" s="1247"/>
      <c r="H42" s="268"/>
      <c r="J42" s="251">
        <v>15</v>
      </c>
    </row>
    <row r="43" spans="1:10" ht="27.4" customHeight="1">
      <c r="A43" s="9"/>
      <c r="B43" s="286"/>
      <c r="C43" s="9"/>
      <c r="D43" s="244">
        <f>D39+1</f>
        <v>9</v>
      </c>
      <c r="E43" s="24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5"/>
      <c r="G43" s="24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7"/>
      <c r="J43" s="251">
        <v>26</v>
      </c>
    </row>
    <row r="44" spans="1:10" ht="23.25" customHeight="1">
      <c r="A44" s="9"/>
      <c r="B44" s="286"/>
      <c r="C44" s="9"/>
      <c r="D44" s="244">
        <f>D43+1</f>
        <v>10</v>
      </c>
      <c r="E44" s="24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6"/>
      <c r="G44" s="266" t="s">
        <v>340</v>
      </c>
      <c r="H44" s="267"/>
      <c r="J44" s="251">
        <v>22</v>
      </c>
    </row>
    <row r="45" spans="1:10" ht="23.25" customHeight="1">
      <c r="A45" s="9"/>
      <c r="B45" s="286"/>
      <c r="C45" s="9"/>
      <c r="D45" s="244">
        <f>D44+1</f>
        <v>11</v>
      </c>
      <c r="E45" s="242" t="s">
        <v>341</v>
      </c>
      <c r="F45" s="38" t="s">
        <v>306</v>
      </c>
      <c r="G45" s="241" t="str">
        <f>IF(TEMPLATE_SPHERE="TKO","Указывается режим работы организации.","")</f>
        <v/>
      </c>
      <c r="H45" s="267"/>
      <c r="J45" s="251">
        <v>22</v>
      </c>
    </row>
    <row r="46" spans="1:10" ht="24" customHeight="1">
      <c r="A46" s="9"/>
      <c r="B46" s="286"/>
      <c r="C46" s="9"/>
      <c r="D46" s="244" t="str">
        <f>D45&amp;".1"</f>
        <v>11.1</v>
      </c>
      <c r="E46" s="246" t="str">
        <f>"режим работы регулируемой организации"&amp;IF(TEMPLATE_SPHERE="HEAT",", ЕТО, ТО","")</f>
        <v>режим работы регулируемой организации</v>
      </c>
      <c r="F46" s="110"/>
      <c r="G46" s="241" t="s">
        <v>342</v>
      </c>
      <c r="H46" s="267"/>
      <c r="J46" s="251">
        <v>23</v>
      </c>
    </row>
    <row r="47" spans="1:10" ht="24" customHeight="1">
      <c r="A47" s="1237"/>
      <c r="B47" s="286"/>
      <c r="C47" s="279"/>
      <c r="D47" s="244" t="str">
        <f>D45&amp;".2"</f>
        <v>11.2</v>
      </c>
      <c r="E47" s="246" t="s">
        <v>343</v>
      </c>
      <c r="F47" s="110"/>
      <c r="G47" s="241" t="s">
        <v>344</v>
      </c>
      <c r="H47" s="267"/>
      <c r="J47" s="251">
        <v>23</v>
      </c>
    </row>
    <row r="48" spans="1:10" ht="24" customHeight="1">
      <c r="A48" s="1237"/>
      <c r="B48" s="286"/>
      <c r="C48" s="279"/>
      <c r="D48" s="244" t="str">
        <f>D45&amp;".3"</f>
        <v>11.3</v>
      </c>
      <c r="E48" s="246" t="s">
        <v>345</v>
      </c>
      <c r="F48" s="110"/>
      <c r="G48" s="241" t="s">
        <v>346</v>
      </c>
      <c r="H48" s="267"/>
      <c r="J48" s="251">
        <v>23</v>
      </c>
    </row>
    <row r="49" spans="1:10" ht="24" customHeight="1">
      <c r="A49" s="1237"/>
      <c r="B49" s="286"/>
      <c r="C49" s="279"/>
      <c r="D49" s="244" t="str">
        <f>IF(TEMPLATE_SPHERE="TKO",D45&amp;".0",D45&amp;".4")</f>
        <v>11.4</v>
      </c>
      <c r="E49" s="240" t="s">
        <v>347</v>
      </c>
      <c r="F49" s="904"/>
      <c r="G49" s="968" t="s">
        <v>348</v>
      </c>
      <c r="H49" s="267"/>
      <c r="J49" s="251">
        <v>23</v>
      </c>
    </row>
    <row r="50" spans="1:10" ht="24" customHeight="1">
      <c r="A50" s="9"/>
      <c r="B50" s="286"/>
      <c r="C50" s="9"/>
      <c r="D50" s="260"/>
      <c r="E50" s="107" t="s">
        <v>349</v>
      </c>
      <c r="F50" s="261"/>
      <c r="G50" s="968" t="s">
        <v>350</v>
      </c>
      <c r="H50" s="268"/>
      <c r="J50" s="251">
        <v>23</v>
      </c>
    </row>
    <row r="51" spans="1:10" ht="24" customHeight="1">
      <c r="A51" s="492"/>
      <c r="B51" s="286"/>
      <c r="C51" s="279"/>
      <c r="D51" s="244">
        <f>D45+1</f>
        <v>12</v>
      </c>
      <c r="E51" s="296" t="s">
        <v>351</v>
      </c>
      <c r="F51" s="110"/>
      <c r="G51" s="90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67"/>
      <c r="J51" s="251">
        <v>23</v>
      </c>
    </row>
    <row r="52" spans="1:10" ht="11.45" customHeight="1">
      <c r="A52" s="9"/>
      <c r="B52" s="286"/>
      <c r="C52" s="9"/>
      <c r="J52" s="251">
        <v>11</v>
      </c>
    </row>
    <row r="53" spans="1:10" s="255" customFormat="1" ht="31.5" customHeight="1">
      <c r="A53" s="3"/>
      <c r="B53" s="65"/>
      <c r="C53" s="1238"/>
      <c r="D53" s="124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41"/>
      <c r="F53" s="1241"/>
      <c r="G53" s="1241"/>
      <c r="H53" s="89"/>
      <c r="I53" s="89"/>
      <c r="J53" s="255">
        <v>30</v>
      </c>
    </row>
    <row r="54" spans="1:10" s="255" customFormat="1" ht="42" customHeight="1">
      <c r="A54" s="9"/>
      <c r="B54" s="286"/>
      <c r="C54" s="1238"/>
      <c r="D54" s="124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1241"/>
      <c r="F54" s="1241"/>
      <c r="G54" s="1241"/>
      <c r="J54" s="255">
        <v>40</v>
      </c>
    </row>
    <row r="55" spans="1:10" ht="11.45" customHeight="1">
      <c r="D55" s="253"/>
      <c r="E55" s="254"/>
      <c r="F55" s="254"/>
      <c r="G55" s="254"/>
      <c r="J55" s="251">
        <v>11</v>
      </c>
    </row>
    <row r="56" spans="1:10" ht="28.5" customHeight="1">
      <c r="D56" s="256"/>
      <c r="E56" s="253"/>
      <c r="F56" s="263"/>
      <c r="G56" s="263"/>
      <c r="J56" s="251">
        <v>27</v>
      </c>
    </row>
    <row r="57" spans="1:10" ht="11.45" customHeight="1">
      <c r="D57" s="253"/>
      <c r="E57" s="253"/>
      <c r="F57" s="254"/>
      <c r="G57" s="254"/>
      <c r="J57" s="251">
        <v>11</v>
      </c>
    </row>
    <row r="58" spans="1:10" ht="40.9" customHeight="1">
      <c r="D58" s="257"/>
      <c r="E58" s="264"/>
      <c r="F58" s="264"/>
      <c r="G58" s="264"/>
      <c r="J58" s="251">
        <v>39</v>
      </c>
    </row>
    <row r="59" spans="1:10" ht="28.5" customHeight="1">
      <c r="D59" s="257"/>
      <c r="E59" s="264"/>
      <c r="F59" s="264"/>
      <c r="G59" s="264"/>
      <c r="J59" s="251">
        <v>27</v>
      </c>
    </row>
    <row r="60" spans="1:10" ht="11.25" hidden="1" customHeight="1">
      <c r="A60" s="6" t="s">
        <v>80</v>
      </c>
      <c r="B60" s="285">
        <v>0</v>
      </c>
      <c r="C60" s="251">
        <v>3</v>
      </c>
      <c r="D60" s="252">
        <v>6</v>
      </c>
      <c r="E60" s="251">
        <v>52</v>
      </c>
      <c r="F60" s="251">
        <v>48</v>
      </c>
      <c r="G60" s="251">
        <v>121</v>
      </c>
      <c r="H60" s="251">
        <v>8</v>
      </c>
      <c r="I60" s="251">
        <v>64</v>
      </c>
      <c r="J60" s="25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097" t="s">
        <v>2232</v>
      </c>
      <c r="B1" s="1098" t="s">
        <v>2233</v>
      </c>
      <c r="C1" s="1558" t="s">
        <v>2234</v>
      </c>
      <c r="D1" s="1559"/>
      <c r="E1" s="433" t="s">
        <v>2235</v>
      </c>
    </row>
    <row r="2" spans="1:5" ht="11.25" customHeight="1">
      <c r="A2" s="1099"/>
      <c r="B2" s="436" t="s">
        <v>26</v>
      </c>
      <c r="C2" s="433"/>
      <c r="D2" s="435"/>
      <c r="E2" s="433"/>
    </row>
    <row r="3" spans="1:5" ht="11.25" customHeight="1">
      <c r="A3" s="1100"/>
      <c r="B3" s="1101" t="s">
        <v>33</v>
      </c>
      <c r="C3" s="433"/>
      <c r="D3" s="435"/>
      <c r="E3" s="433"/>
    </row>
    <row r="4" spans="1:5" ht="11.25" customHeight="1">
      <c r="A4" s="1102"/>
      <c r="B4" s="437" t="s">
        <v>1661</v>
      </c>
      <c r="C4" s="433"/>
      <c r="D4" s="435"/>
      <c r="E4" s="433"/>
    </row>
    <row r="5" spans="1:5" ht="11.25" customHeight="1">
      <c r="A5" s="1103"/>
      <c r="B5" s="437" t="s">
        <v>1655</v>
      </c>
      <c r="C5" s="1104" t="s">
        <v>1999</v>
      </c>
      <c r="D5" s="1105" t="s">
        <v>2236</v>
      </c>
      <c r="E5" s="433"/>
    </row>
    <row r="6" spans="1:5" ht="11.25" customHeight="1">
      <c r="A6" s="1106"/>
      <c r="B6" s="437" t="s">
        <v>1665</v>
      </c>
      <c r="C6" s="433"/>
      <c r="D6" s="435"/>
      <c r="E6" s="433"/>
    </row>
    <row r="7" spans="1:5" ht="11.25" customHeight="1">
      <c r="A7" s="1107"/>
      <c r="B7" s="437" t="s">
        <v>1672</v>
      </c>
      <c r="C7" s="433"/>
      <c r="D7" s="435"/>
      <c r="E7" s="433"/>
    </row>
    <row r="8" spans="1:5" ht="11.25" customHeight="1">
      <c r="A8" s="434"/>
      <c r="B8" s="437" t="s">
        <v>1668</v>
      </c>
      <c r="C8" s="433"/>
      <c r="D8" s="435"/>
      <c r="E8" s="433"/>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71"/>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2237</v>
      </c>
      <c r="B1" t="s">
        <v>2238</v>
      </c>
      <c r="C1" t="s">
        <v>2239</v>
      </c>
      <c r="D1" t="s">
        <v>2240</v>
      </c>
      <c r="E1" t="s">
        <v>2241</v>
      </c>
      <c r="F1" t="s">
        <v>2242</v>
      </c>
      <c r="G1" t="s">
        <v>2243</v>
      </c>
      <c r="H1" t="s">
        <v>2244</v>
      </c>
      <c r="I1" t="s">
        <v>2245</v>
      </c>
    </row>
    <row r="2" spans="1:9" ht="11.25" customHeight="1">
      <c r="A2" t="s">
        <v>2246</v>
      </c>
      <c r="B2" t="s">
        <v>16</v>
      </c>
      <c r="C2" t="s">
        <v>2247</v>
      </c>
      <c r="D2" t="s">
        <v>2248</v>
      </c>
      <c r="E2" t="s">
        <v>2249</v>
      </c>
      <c r="F2" t="s">
        <v>2250</v>
      </c>
      <c r="G2" t="s">
        <v>2251</v>
      </c>
      <c r="H2" t="s">
        <v>28</v>
      </c>
      <c r="I2" t="s">
        <v>806</v>
      </c>
    </row>
    <row r="3" spans="1:9" ht="11.25" customHeight="1">
      <c r="A3" t="s">
        <v>2246</v>
      </c>
      <c r="B3" t="s">
        <v>16</v>
      </c>
      <c r="C3" t="s">
        <v>2252</v>
      </c>
      <c r="D3" t="s">
        <v>2253</v>
      </c>
      <c r="E3" t="s">
        <v>2254</v>
      </c>
      <c r="F3" t="s">
        <v>2255</v>
      </c>
      <c r="G3" t="s">
        <v>28</v>
      </c>
      <c r="H3" t="s">
        <v>28</v>
      </c>
      <c r="I3" t="s">
        <v>806</v>
      </c>
    </row>
    <row r="4" spans="1:9" ht="11.25" customHeight="1">
      <c r="A4" t="s">
        <v>2246</v>
      </c>
      <c r="B4" t="s">
        <v>16</v>
      </c>
      <c r="C4" t="s">
        <v>2256</v>
      </c>
      <c r="D4" t="s">
        <v>2257</v>
      </c>
      <c r="E4" t="s">
        <v>2258</v>
      </c>
      <c r="F4" t="s">
        <v>2259</v>
      </c>
      <c r="G4" t="s">
        <v>2260</v>
      </c>
      <c r="H4" t="s">
        <v>28</v>
      </c>
      <c r="I4" t="s">
        <v>806</v>
      </c>
    </row>
    <row r="5" spans="1:9" ht="11.25" customHeight="1">
      <c r="A5" t="s">
        <v>2246</v>
      </c>
      <c r="B5" t="s">
        <v>16</v>
      </c>
      <c r="C5" t="s">
        <v>2261</v>
      </c>
      <c r="D5" t="s">
        <v>2262</v>
      </c>
      <c r="E5" t="s">
        <v>2263</v>
      </c>
      <c r="F5" t="s">
        <v>2264</v>
      </c>
      <c r="G5" t="s">
        <v>28</v>
      </c>
      <c r="H5" t="s">
        <v>28</v>
      </c>
      <c r="I5" t="s">
        <v>806</v>
      </c>
    </row>
    <row r="6" spans="1:9" ht="11.25" customHeight="1">
      <c r="A6" t="s">
        <v>2246</v>
      </c>
      <c r="B6" t="s">
        <v>16</v>
      </c>
      <c r="C6" t="s">
        <v>2265</v>
      </c>
      <c r="D6" t="s">
        <v>2266</v>
      </c>
      <c r="E6" t="s">
        <v>2267</v>
      </c>
      <c r="F6" t="s">
        <v>2268</v>
      </c>
      <c r="G6" t="s">
        <v>2269</v>
      </c>
      <c r="H6" t="s">
        <v>28</v>
      </c>
      <c r="I6" t="s">
        <v>806</v>
      </c>
    </row>
    <row r="7" spans="1:9" ht="11.25" customHeight="1">
      <c r="A7" t="s">
        <v>2246</v>
      </c>
      <c r="B7" t="s">
        <v>16</v>
      </c>
      <c r="C7" t="s">
        <v>2270</v>
      </c>
      <c r="D7" t="s">
        <v>2271</v>
      </c>
      <c r="E7" t="s">
        <v>2272</v>
      </c>
      <c r="F7" t="s">
        <v>2273</v>
      </c>
      <c r="G7" t="s">
        <v>28</v>
      </c>
      <c r="H7" t="s">
        <v>28</v>
      </c>
      <c r="I7" t="s">
        <v>806</v>
      </c>
    </row>
    <row r="8" spans="1:9" ht="11.25" customHeight="1">
      <c r="A8" t="s">
        <v>2246</v>
      </c>
      <c r="B8" t="s">
        <v>16</v>
      </c>
      <c r="C8" t="s">
        <v>2274</v>
      </c>
      <c r="D8" t="s">
        <v>2275</v>
      </c>
      <c r="E8" t="s">
        <v>2276</v>
      </c>
      <c r="F8" t="s">
        <v>2277</v>
      </c>
      <c r="G8" t="s">
        <v>28</v>
      </c>
      <c r="H8" t="s">
        <v>28</v>
      </c>
      <c r="I8" t="s">
        <v>806</v>
      </c>
    </row>
    <row r="9" spans="1:9" ht="11.25" customHeight="1">
      <c r="A9" t="s">
        <v>2246</v>
      </c>
      <c r="B9" t="s">
        <v>16</v>
      </c>
      <c r="C9" t="s">
        <v>2278</v>
      </c>
      <c r="D9" t="s">
        <v>2279</v>
      </c>
      <c r="E9" t="s">
        <v>2280</v>
      </c>
      <c r="F9" t="s">
        <v>2281</v>
      </c>
      <c r="G9" t="s">
        <v>2282</v>
      </c>
      <c r="H9" t="s">
        <v>28</v>
      </c>
      <c r="I9" t="s">
        <v>806</v>
      </c>
    </row>
    <row r="10" spans="1:9" ht="11.25" customHeight="1">
      <c r="A10" t="s">
        <v>2246</v>
      </c>
      <c r="B10" t="s">
        <v>16</v>
      </c>
      <c r="C10" t="s">
        <v>2283</v>
      </c>
      <c r="D10" t="s">
        <v>2284</v>
      </c>
      <c r="E10" t="s">
        <v>2285</v>
      </c>
      <c r="F10" t="s">
        <v>2286</v>
      </c>
      <c r="G10" t="s">
        <v>28</v>
      </c>
      <c r="H10" t="s">
        <v>28</v>
      </c>
      <c r="I10" t="s">
        <v>806</v>
      </c>
    </row>
    <row r="11" spans="1:9" ht="11.25" customHeight="1">
      <c r="A11" t="s">
        <v>2246</v>
      </c>
      <c r="B11" t="s">
        <v>16</v>
      </c>
      <c r="C11" t="s">
        <v>2287</v>
      </c>
      <c r="D11" t="s">
        <v>2288</v>
      </c>
      <c r="E11" t="s">
        <v>2289</v>
      </c>
      <c r="F11" t="s">
        <v>2290</v>
      </c>
      <c r="G11" t="s">
        <v>2291</v>
      </c>
      <c r="H11" t="s">
        <v>28</v>
      </c>
      <c r="I11" t="s">
        <v>806</v>
      </c>
    </row>
    <row r="12" spans="1:9" ht="11.25" customHeight="1">
      <c r="A12" t="s">
        <v>2246</v>
      </c>
      <c r="B12" t="s">
        <v>16</v>
      </c>
      <c r="C12" t="s">
        <v>2292</v>
      </c>
      <c r="D12" t="s">
        <v>2293</v>
      </c>
      <c r="E12" t="s">
        <v>2294</v>
      </c>
      <c r="F12" t="s">
        <v>2295</v>
      </c>
      <c r="G12" t="s">
        <v>28</v>
      </c>
      <c r="H12" t="s">
        <v>28</v>
      </c>
      <c r="I12" t="s">
        <v>806</v>
      </c>
    </row>
    <row r="13" spans="1:9" ht="11.25" customHeight="1">
      <c r="A13" t="s">
        <v>2246</v>
      </c>
      <c r="B13" t="s">
        <v>16</v>
      </c>
      <c r="C13" t="s">
        <v>2296</v>
      </c>
      <c r="D13" t="s">
        <v>2297</v>
      </c>
      <c r="E13" t="s">
        <v>2298</v>
      </c>
      <c r="F13" t="s">
        <v>2299</v>
      </c>
      <c r="G13" t="s">
        <v>28</v>
      </c>
      <c r="H13" t="s">
        <v>28</v>
      </c>
      <c r="I13" t="s">
        <v>806</v>
      </c>
    </row>
    <row r="14" spans="1:9" ht="11.25" customHeight="1">
      <c r="A14" t="s">
        <v>2246</v>
      </c>
      <c r="B14" t="s">
        <v>16</v>
      </c>
      <c r="C14" t="s">
        <v>2300</v>
      </c>
      <c r="D14" t="s">
        <v>2301</v>
      </c>
      <c r="E14" t="s">
        <v>2302</v>
      </c>
      <c r="F14" t="s">
        <v>2303</v>
      </c>
      <c r="G14" t="s">
        <v>28</v>
      </c>
      <c r="H14" t="s">
        <v>28</v>
      </c>
      <c r="I14" t="s">
        <v>806</v>
      </c>
    </row>
    <row r="15" spans="1:9" ht="11.25" customHeight="1">
      <c r="A15" t="s">
        <v>2246</v>
      </c>
      <c r="B15" t="s">
        <v>16</v>
      </c>
      <c r="C15" t="s">
        <v>2304</v>
      </c>
      <c r="D15" t="s">
        <v>2305</v>
      </c>
      <c r="E15" t="s">
        <v>2306</v>
      </c>
      <c r="F15" t="s">
        <v>2250</v>
      </c>
      <c r="G15" t="s">
        <v>28</v>
      </c>
      <c r="H15" t="s">
        <v>28</v>
      </c>
      <c r="I15" t="s">
        <v>806</v>
      </c>
    </row>
    <row r="16" spans="1:9" ht="11.25" customHeight="1">
      <c r="A16" t="s">
        <v>2246</v>
      </c>
      <c r="B16" t="s">
        <v>16</v>
      </c>
      <c r="C16" t="s">
        <v>2307</v>
      </c>
      <c r="D16" t="s">
        <v>2308</v>
      </c>
      <c r="E16" t="s">
        <v>2309</v>
      </c>
      <c r="F16" t="s">
        <v>2310</v>
      </c>
      <c r="G16" t="s">
        <v>28</v>
      </c>
      <c r="H16" t="s">
        <v>28</v>
      </c>
      <c r="I16" t="s">
        <v>806</v>
      </c>
    </row>
    <row r="17" spans="1:9" ht="11.25" customHeight="1">
      <c r="A17" t="s">
        <v>2246</v>
      </c>
      <c r="B17" t="s">
        <v>16</v>
      </c>
      <c r="C17" t="s">
        <v>2311</v>
      </c>
      <c r="D17" t="s">
        <v>2312</v>
      </c>
      <c r="E17" t="s">
        <v>2309</v>
      </c>
      <c r="F17" t="s">
        <v>2313</v>
      </c>
      <c r="G17" t="s">
        <v>2314</v>
      </c>
      <c r="H17" t="s">
        <v>28</v>
      </c>
      <c r="I17" t="s">
        <v>806</v>
      </c>
    </row>
    <row r="18" spans="1:9" ht="11.25" customHeight="1">
      <c r="A18" t="s">
        <v>2246</v>
      </c>
      <c r="B18" t="s">
        <v>16</v>
      </c>
      <c r="C18" t="s">
        <v>2315</v>
      </c>
      <c r="D18" t="s">
        <v>2316</v>
      </c>
      <c r="E18" t="s">
        <v>2317</v>
      </c>
      <c r="F18" t="s">
        <v>2273</v>
      </c>
      <c r="G18" t="s">
        <v>28</v>
      </c>
      <c r="H18" t="s">
        <v>28</v>
      </c>
      <c r="I18" t="s">
        <v>806</v>
      </c>
    </row>
    <row r="19" spans="1:9" ht="11.25" customHeight="1">
      <c r="A19" t="s">
        <v>2246</v>
      </c>
      <c r="B19" t="s">
        <v>16</v>
      </c>
      <c r="C19" t="s">
        <v>2318</v>
      </c>
      <c r="D19" t="s">
        <v>2319</v>
      </c>
      <c r="E19" t="s">
        <v>2320</v>
      </c>
      <c r="F19" t="s">
        <v>2268</v>
      </c>
      <c r="G19" t="s">
        <v>2321</v>
      </c>
      <c r="H19" t="s">
        <v>28</v>
      </c>
      <c r="I19" t="s">
        <v>806</v>
      </c>
    </row>
    <row r="20" spans="1:9" ht="11.25" customHeight="1">
      <c r="A20" t="s">
        <v>2246</v>
      </c>
      <c r="B20" t="s">
        <v>16</v>
      </c>
      <c r="C20" t="s">
        <v>2322</v>
      </c>
      <c r="D20" t="s">
        <v>2323</v>
      </c>
      <c r="E20" t="s">
        <v>2324</v>
      </c>
      <c r="F20" t="s">
        <v>2325</v>
      </c>
      <c r="G20" t="s">
        <v>28</v>
      </c>
      <c r="H20" t="s">
        <v>28</v>
      </c>
      <c r="I20" t="s">
        <v>806</v>
      </c>
    </row>
    <row r="21" spans="1:9" ht="11.25" customHeight="1">
      <c r="A21" t="s">
        <v>2246</v>
      </c>
      <c r="B21" t="s">
        <v>16</v>
      </c>
      <c r="C21" t="s">
        <v>2326</v>
      </c>
      <c r="D21" t="s">
        <v>2327</v>
      </c>
      <c r="E21" t="s">
        <v>2328</v>
      </c>
      <c r="F21" t="s">
        <v>50</v>
      </c>
      <c r="G21" t="s">
        <v>28</v>
      </c>
      <c r="H21" t="s">
        <v>28</v>
      </c>
      <c r="I21" t="s">
        <v>806</v>
      </c>
    </row>
    <row r="22" spans="1:9" ht="11.25" customHeight="1">
      <c r="A22" t="s">
        <v>2246</v>
      </c>
      <c r="B22" t="s">
        <v>16</v>
      </c>
      <c r="C22" t="s">
        <v>2329</v>
      </c>
      <c r="D22" t="s">
        <v>2330</v>
      </c>
      <c r="E22" t="s">
        <v>2331</v>
      </c>
      <c r="F22" t="s">
        <v>2332</v>
      </c>
      <c r="G22" t="s">
        <v>2333</v>
      </c>
      <c r="H22" t="s">
        <v>28</v>
      </c>
      <c r="I22" t="s">
        <v>806</v>
      </c>
    </row>
    <row r="23" spans="1:9" ht="11.25" customHeight="1">
      <c r="A23" t="s">
        <v>2246</v>
      </c>
      <c r="B23" t="s">
        <v>16</v>
      </c>
      <c r="C23" t="s">
        <v>2334</v>
      </c>
      <c r="D23" t="s">
        <v>2335</v>
      </c>
      <c r="E23" t="s">
        <v>2336</v>
      </c>
      <c r="F23" t="s">
        <v>2250</v>
      </c>
      <c r="G23" t="s">
        <v>28</v>
      </c>
      <c r="H23" t="s">
        <v>28</v>
      </c>
      <c r="I23" t="s">
        <v>806</v>
      </c>
    </row>
    <row r="24" spans="1:9" ht="11.25" customHeight="1">
      <c r="A24" t="s">
        <v>2246</v>
      </c>
      <c r="B24" t="s">
        <v>16</v>
      </c>
      <c r="C24" t="s">
        <v>2337</v>
      </c>
      <c r="D24" t="s">
        <v>2338</v>
      </c>
      <c r="E24" t="s">
        <v>2339</v>
      </c>
      <c r="F24" t="s">
        <v>2303</v>
      </c>
      <c r="G24" t="s">
        <v>28</v>
      </c>
      <c r="H24" t="s">
        <v>28</v>
      </c>
      <c r="I24" t="s">
        <v>806</v>
      </c>
    </row>
    <row r="25" spans="1:9" ht="11.25" customHeight="1">
      <c r="A25" t="s">
        <v>2246</v>
      </c>
      <c r="B25" t="s">
        <v>16</v>
      </c>
      <c r="C25" t="s">
        <v>2340</v>
      </c>
      <c r="D25" t="s">
        <v>2341</v>
      </c>
      <c r="E25" t="s">
        <v>2342</v>
      </c>
      <c r="F25" t="s">
        <v>2343</v>
      </c>
      <c r="G25" t="s">
        <v>28</v>
      </c>
      <c r="H25" t="s">
        <v>28</v>
      </c>
      <c r="I25" t="s">
        <v>806</v>
      </c>
    </row>
    <row r="26" spans="1:9" ht="11.25" customHeight="1">
      <c r="A26" t="s">
        <v>2246</v>
      </c>
      <c r="B26" t="s">
        <v>16</v>
      </c>
      <c r="C26" t="s">
        <v>2344</v>
      </c>
      <c r="D26" t="s">
        <v>2345</v>
      </c>
      <c r="E26" t="s">
        <v>2346</v>
      </c>
      <c r="F26" t="s">
        <v>2347</v>
      </c>
      <c r="G26" t="s">
        <v>2348</v>
      </c>
      <c r="H26" t="s">
        <v>28</v>
      </c>
      <c r="I26" t="s">
        <v>806</v>
      </c>
    </row>
    <row r="27" spans="1:9" ht="11.25" customHeight="1">
      <c r="A27" t="s">
        <v>2246</v>
      </c>
      <c r="B27" t="s">
        <v>16</v>
      </c>
      <c r="C27" t="s">
        <v>2349</v>
      </c>
      <c r="D27" t="s">
        <v>2350</v>
      </c>
      <c r="E27" t="s">
        <v>2351</v>
      </c>
      <c r="F27" t="s">
        <v>2352</v>
      </c>
      <c r="G27" t="s">
        <v>28</v>
      </c>
      <c r="H27" t="s">
        <v>28</v>
      </c>
      <c r="I27" t="s">
        <v>806</v>
      </c>
    </row>
    <row r="28" spans="1:9" ht="11.25" customHeight="1">
      <c r="A28" t="s">
        <v>2246</v>
      </c>
      <c r="B28" t="s">
        <v>16</v>
      </c>
      <c r="C28" t="s">
        <v>2353</v>
      </c>
      <c r="D28" t="s">
        <v>2354</v>
      </c>
      <c r="E28" t="s">
        <v>2355</v>
      </c>
      <c r="F28" t="s">
        <v>2264</v>
      </c>
      <c r="G28" t="s">
        <v>2356</v>
      </c>
      <c r="H28" t="s">
        <v>28</v>
      </c>
      <c r="I28" t="s">
        <v>806</v>
      </c>
    </row>
    <row r="29" spans="1:9" ht="11.25" customHeight="1">
      <c r="A29" t="s">
        <v>2246</v>
      </c>
      <c r="B29" t="s">
        <v>16</v>
      </c>
      <c r="C29" t="s">
        <v>2357</v>
      </c>
      <c r="D29" t="s">
        <v>2358</v>
      </c>
      <c r="E29" t="s">
        <v>2359</v>
      </c>
      <c r="F29" t="s">
        <v>2360</v>
      </c>
      <c r="G29" t="s">
        <v>28</v>
      </c>
      <c r="H29" t="s">
        <v>28</v>
      </c>
      <c r="I29" t="s">
        <v>806</v>
      </c>
    </row>
    <row r="30" spans="1:9" ht="11.25" customHeight="1">
      <c r="A30" t="s">
        <v>2246</v>
      </c>
      <c r="B30" t="s">
        <v>16</v>
      </c>
      <c r="C30" t="s">
        <v>2361</v>
      </c>
      <c r="D30" t="s">
        <v>2362</v>
      </c>
      <c r="E30" t="s">
        <v>2363</v>
      </c>
      <c r="F30" t="s">
        <v>2325</v>
      </c>
      <c r="G30" t="s">
        <v>28</v>
      </c>
      <c r="H30" t="s">
        <v>28</v>
      </c>
      <c r="I30" t="s">
        <v>806</v>
      </c>
    </row>
    <row r="31" spans="1:9" ht="11.25" customHeight="1">
      <c r="A31" t="s">
        <v>2246</v>
      </c>
      <c r="B31" t="s">
        <v>16</v>
      </c>
      <c r="C31" t="s">
        <v>2364</v>
      </c>
      <c r="D31" t="s">
        <v>2365</v>
      </c>
      <c r="E31" t="s">
        <v>2366</v>
      </c>
      <c r="F31" t="s">
        <v>2264</v>
      </c>
      <c r="G31" t="s">
        <v>28</v>
      </c>
      <c r="H31" t="s">
        <v>28</v>
      </c>
      <c r="I31" t="s">
        <v>806</v>
      </c>
    </row>
    <row r="32" spans="1:9" ht="11.25" customHeight="1">
      <c r="A32" t="s">
        <v>2246</v>
      </c>
      <c r="B32" t="s">
        <v>16</v>
      </c>
      <c r="C32" t="s">
        <v>2367</v>
      </c>
      <c r="D32" t="s">
        <v>2368</v>
      </c>
      <c r="E32" t="s">
        <v>2369</v>
      </c>
      <c r="F32" t="s">
        <v>2370</v>
      </c>
      <c r="G32" t="s">
        <v>28</v>
      </c>
      <c r="H32" t="s">
        <v>28</v>
      </c>
      <c r="I32" t="s">
        <v>806</v>
      </c>
    </row>
    <row r="33" spans="1:9" ht="11.25" customHeight="1">
      <c r="A33" t="s">
        <v>2246</v>
      </c>
      <c r="B33" t="s">
        <v>16</v>
      </c>
      <c r="C33" t="s">
        <v>2371</v>
      </c>
      <c r="D33" t="s">
        <v>2372</v>
      </c>
      <c r="E33" t="s">
        <v>2373</v>
      </c>
      <c r="F33" t="s">
        <v>2360</v>
      </c>
      <c r="G33" t="s">
        <v>2374</v>
      </c>
      <c r="H33" t="s">
        <v>28</v>
      </c>
      <c r="I33" t="s">
        <v>806</v>
      </c>
    </row>
    <row r="34" spans="1:9" ht="11.25" customHeight="1">
      <c r="A34" t="s">
        <v>2246</v>
      </c>
      <c r="B34" t="s">
        <v>16</v>
      </c>
      <c r="C34" t="s">
        <v>2375</v>
      </c>
      <c r="D34" t="s">
        <v>2376</v>
      </c>
      <c r="E34" t="s">
        <v>2377</v>
      </c>
      <c r="F34" t="s">
        <v>2295</v>
      </c>
      <c r="G34" t="s">
        <v>28</v>
      </c>
      <c r="H34" t="s">
        <v>28</v>
      </c>
      <c r="I34" t="s">
        <v>806</v>
      </c>
    </row>
    <row r="35" spans="1:9" ht="11.25" customHeight="1">
      <c r="A35" t="s">
        <v>2246</v>
      </c>
      <c r="B35" t="s">
        <v>16</v>
      </c>
      <c r="C35" t="s">
        <v>2378</v>
      </c>
      <c r="D35" t="s">
        <v>2379</v>
      </c>
      <c r="E35" t="s">
        <v>2380</v>
      </c>
      <c r="F35" t="s">
        <v>2370</v>
      </c>
      <c r="G35" t="s">
        <v>28</v>
      </c>
      <c r="H35" t="s">
        <v>28</v>
      </c>
      <c r="I35" t="s">
        <v>806</v>
      </c>
    </row>
    <row r="36" spans="1:9" ht="11.25" customHeight="1">
      <c r="A36" t="s">
        <v>2246</v>
      </c>
      <c r="B36" t="s">
        <v>16</v>
      </c>
      <c r="C36" t="s">
        <v>2381</v>
      </c>
      <c r="D36" t="s">
        <v>2382</v>
      </c>
      <c r="E36" t="s">
        <v>2383</v>
      </c>
      <c r="F36" t="s">
        <v>2384</v>
      </c>
      <c r="G36" t="s">
        <v>28</v>
      </c>
      <c r="H36" t="s">
        <v>28</v>
      </c>
      <c r="I36" t="s">
        <v>806</v>
      </c>
    </row>
    <row r="37" spans="1:9" ht="11.25" customHeight="1">
      <c r="A37" t="s">
        <v>2246</v>
      </c>
      <c r="B37" t="s">
        <v>16</v>
      </c>
      <c r="C37" t="s">
        <v>2385</v>
      </c>
      <c r="D37" t="s">
        <v>2386</v>
      </c>
      <c r="E37" t="s">
        <v>2387</v>
      </c>
      <c r="F37" t="s">
        <v>2343</v>
      </c>
      <c r="G37" t="s">
        <v>2388</v>
      </c>
      <c r="H37" t="s">
        <v>28</v>
      </c>
      <c r="I37" t="s">
        <v>806</v>
      </c>
    </row>
    <row r="38" spans="1:9" ht="11.25" customHeight="1">
      <c r="A38" t="s">
        <v>2246</v>
      </c>
      <c r="B38" t="s">
        <v>16</v>
      </c>
      <c r="C38" t="s">
        <v>2389</v>
      </c>
      <c r="D38" t="s">
        <v>2390</v>
      </c>
      <c r="E38" t="s">
        <v>2391</v>
      </c>
      <c r="F38" t="s">
        <v>2332</v>
      </c>
      <c r="G38" t="s">
        <v>2392</v>
      </c>
      <c r="H38" t="s">
        <v>28</v>
      </c>
      <c r="I38" t="s">
        <v>806</v>
      </c>
    </row>
    <row r="39" spans="1:9" ht="11.25" customHeight="1">
      <c r="A39" t="s">
        <v>2246</v>
      </c>
      <c r="B39" t="s">
        <v>16</v>
      </c>
      <c r="C39" t="s">
        <v>2393</v>
      </c>
      <c r="D39" t="s">
        <v>2394</v>
      </c>
      <c r="E39" t="s">
        <v>2272</v>
      </c>
      <c r="F39" t="s">
        <v>2395</v>
      </c>
      <c r="G39" t="s">
        <v>2396</v>
      </c>
      <c r="H39" t="s">
        <v>28</v>
      </c>
      <c r="I39" t="s">
        <v>806</v>
      </c>
    </row>
    <row r="40" spans="1:9" ht="11.25" customHeight="1">
      <c r="A40" t="s">
        <v>2246</v>
      </c>
      <c r="B40" t="s">
        <v>16</v>
      </c>
      <c r="C40" t="s">
        <v>2397</v>
      </c>
      <c r="D40" t="s">
        <v>2398</v>
      </c>
      <c r="E40" t="s">
        <v>2399</v>
      </c>
      <c r="F40" t="s">
        <v>2400</v>
      </c>
      <c r="G40" t="s">
        <v>2401</v>
      </c>
      <c r="H40" t="s">
        <v>28</v>
      </c>
      <c r="I40" t="s">
        <v>806</v>
      </c>
    </row>
    <row r="41" spans="1:9" ht="11.25" customHeight="1">
      <c r="A41" t="s">
        <v>2246</v>
      </c>
      <c r="B41" t="s">
        <v>16</v>
      </c>
      <c r="C41" t="s">
        <v>2402</v>
      </c>
      <c r="D41" t="s">
        <v>2403</v>
      </c>
      <c r="E41" t="s">
        <v>2404</v>
      </c>
      <c r="F41" t="s">
        <v>2400</v>
      </c>
      <c r="G41" t="s">
        <v>2405</v>
      </c>
      <c r="H41" t="s">
        <v>28</v>
      </c>
      <c r="I41" t="s">
        <v>806</v>
      </c>
    </row>
    <row r="42" spans="1:9" ht="11.25" customHeight="1">
      <c r="A42" t="s">
        <v>2246</v>
      </c>
      <c r="B42" t="s">
        <v>16</v>
      </c>
      <c r="C42" t="s">
        <v>2406</v>
      </c>
      <c r="D42" t="s">
        <v>2407</v>
      </c>
      <c r="E42" t="s">
        <v>2408</v>
      </c>
      <c r="F42" t="s">
        <v>2409</v>
      </c>
      <c r="G42" t="s">
        <v>28</v>
      </c>
      <c r="H42" t="s">
        <v>28</v>
      </c>
      <c r="I42" t="s">
        <v>806</v>
      </c>
    </row>
    <row r="43" spans="1:9" ht="11.25" customHeight="1">
      <c r="A43" t="s">
        <v>2246</v>
      </c>
      <c r="B43" t="s">
        <v>16</v>
      </c>
      <c r="C43" t="s">
        <v>2410</v>
      </c>
      <c r="D43" t="s">
        <v>2411</v>
      </c>
      <c r="E43" t="s">
        <v>2412</v>
      </c>
      <c r="F43" t="s">
        <v>2250</v>
      </c>
      <c r="G43" t="s">
        <v>28</v>
      </c>
      <c r="H43" t="s">
        <v>28</v>
      </c>
      <c r="I43" t="s">
        <v>806</v>
      </c>
    </row>
    <row r="44" spans="1:9" ht="11.25" customHeight="1">
      <c r="A44" t="s">
        <v>2246</v>
      </c>
      <c r="B44" t="s">
        <v>16</v>
      </c>
      <c r="C44" t="s">
        <v>2413</v>
      </c>
      <c r="D44" t="s">
        <v>2414</v>
      </c>
      <c r="E44" t="s">
        <v>2415</v>
      </c>
      <c r="F44" t="s">
        <v>2250</v>
      </c>
      <c r="G44" t="s">
        <v>28</v>
      </c>
      <c r="H44" t="s">
        <v>28</v>
      </c>
      <c r="I44" t="s">
        <v>806</v>
      </c>
    </row>
    <row r="45" spans="1:9" ht="11.25" customHeight="1">
      <c r="A45" t="s">
        <v>2246</v>
      </c>
      <c r="B45" t="s">
        <v>16</v>
      </c>
      <c r="C45" t="s">
        <v>2416</v>
      </c>
      <c r="D45" t="s">
        <v>2417</v>
      </c>
      <c r="E45" t="s">
        <v>2418</v>
      </c>
      <c r="F45" t="s">
        <v>2400</v>
      </c>
      <c r="G45" t="s">
        <v>28</v>
      </c>
      <c r="H45" t="s">
        <v>28</v>
      </c>
      <c r="I45" t="s">
        <v>806</v>
      </c>
    </row>
    <row r="46" spans="1:9" ht="11.25" customHeight="1">
      <c r="A46" t="s">
        <v>2246</v>
      </c>
      <c r="B46" t="s">
        <v>16</v>
      </c>
      <c r="C46" t="s">
        <v>2419</v>
      </c>
      <c r="D46" t="s">
        <v>2420</v>
      </c>
      <c r="E46" t="s">
        <v>2421</v>
      </c>
      <c r="F46" t="s">
        <v>2422</v>
      </c>
      <c r="G46" t="s">
        <v>28</v>
      </c>
      <c r="H46" t="s">
        <v>28</v>
      </c>
      <c r="I46" t="s">
        <v>806</v>
      </c>
    </row>
    <row r="47" spans="1:9" ht="11.25" customHeight="1">
      <c r="A47" t="s">
        <v>2246</v>
      </c>
      <c r="B47" t="s">
        <v>16</v>
      </c>
      <c r="C47" t="s">
        <v>2423</v>
      </c>
      <c r="D47" t="s">
        <v>2424</v>
      </c>
      <c r="E47" t="s">
        <v>2425</v>
      </c>
      <c r="F47" t="s">
        <v>2303</v>
      </c>
      <c r="G47" t="s">
        <v>2426</v>
      </c>
      <c r="H47" t="s">
        <v>28</v>
      </c>
      <c r="I47" t="s">
        <v>806</v>
      </c>
    </row>
    <row r="48" spans="1:9" ht="11.25" customHeight="1">
      <c r="A48" t="s">
        <v>2246</v>
      </c>
      <c r="B48" t="s">
        <v>16</v>
      </c>
      <c r="C48" t="s">
        <v>2427</v>
      </c>
      <c r="D48" t="s">
        <v>2428</v>
      </c>
      <c r="E48" t="s">
        <v>2425</v>
      </c>
      <c r="F48" t="s">
        <v>2429</v>
      </c>
      <c r="G48" t="s">
        <v>28</v>
      </c>
      <c r="H48" t="s">
        <v>28</v>
      </c>
      <c r="I48" t="s">
        <v>806</v>
      </c>
    </row>
    <row r="49" spans="1:9" ht="11.25" customHeight="1">
      <c r="A49" t="s">
        <v>2246</v>
      </c>
      <c r="B49" t="s">
        <v>16</v>
      </c>
      <c r="C49" t="s">
        <v>2430</v>
      </c>
      <c r="D49" t="s">
        <v>2431</v>
      </c>
      <c r="E49" t="s">
        <v>2425</v>
      </c>
      <c r="F49" t="s">
        <v>2432</v>
      </c>
      <c r="G49" t="s">
        <v>28</v>
      </c>
      <c r="H49" t="s">
        <v>28</v>
      </c>
      <c r="I49" t="s">
        <v>806</v>
      </c>
    </row>
    <row r="50" spans="1:9" ht="11.25" customHeight="1">
      <c r="A50" t="s">
        <v>2246</v>
      </c>
      <c r="B50" t="s">
        <v>16</v>
      </c>
      <c r="C50" t="s">
        <v>2433</v>
      </c>
      <c r="D50" t="s">
        <v>2434</v>
      </c>
      <c r="E50" t="s">
        <v>2425</v>
      </c>
      <c r="F50" t="s">
        <v>2435</v>
      </c>
      <c r="G50" t="s">
        <v>28</v>
      </c>
      <c r="H50" t="s">
        <v>28</v>
      </c>
      <c r="I50" t="s">
        <v>806</v>
      </c>
    </row>
    <row r="51" spans="1:9" ht="11.25" customHeight="1">
      <c r="A51" t="s">
        <v>2246</v>
      </c>
      <c r="B51" t="s">
        <v>16</v>
      </c>
      <c r="C51" t="s">
        <v>2436</v>
      </c>
      <c r="D51" t="s">
        <v>2437</v>
      </c>
      <c r="E51" t="s">
        <v>2425</v>
      </c>
      <c r="F51" t="s">
        <v>2438</v>
      </c>
      <c r="G51" t="s">
        <v>28</v>
      </c>
      <c r="H51" t="s">
        <v>28</v>
      </c>
      <c r="I51" t="s">
        <v>806</v>
      </c>
    </row>
    <row r="52" spans="1:9" ht="11.25" customHeight="1">
      <c r="A52" t="s">
        <v>2246</v>
      </c>
      <c r="B52" t="s">
        <v>16</v>
      </c>
      <c r="C52" t="s">
        <v>2439</v>
      </c>
      <c r="D52" t="s">
        <v>2440</v>
      </c>
      <c r="E52" t="s">
        <v>2425</v>
      </c>
      <c r="F52" t="s">
        <v>2441</v>
      </c>
      <c r="G52" t="s">
        <v>28</v>
      </c>
      <c r="H52" t="s">
        <v>28</v>
      </c>
      <c r="I52" t="s">
        <v>806</v>
      </c>
    </row>
    <row r="53" spans="1:9" ht="11.25" customHeight="1">
      <c r="A53" t="s">
        <v>2246</v>
      </c>
      <c r="B53" t="s">
        <v>16</v>
      </c>
      <c r="C53" t="s">
        <v>2442</v>
      </c>
      <c r="D53" t="s">
        <v>2443</v>
      </c>
      <c r="E53" t="s">
        <v>2425</v>
      </c>
      <c r="F53" t="s">
        <v>2444</v>
      </c>
      <c r="G53" t="s">
        <v>28</v>
      </c>
      <c r="H53" t="s">
        <v>28</v>
      </c>
      <c r="I53" t="s">
        <v>806</v>
      </c>
    </row>
    <row r="54" spans="1:9" ht="11.25" customHeight="1">
      <c r="A54" t="s">
        <v>2246</v>
      </c>
      <c r="B54" t="s">
        <v>16</v>
      </c>
      <c r="C54" t="s">
        <v>2445</v>
      </c>
      <c r="D54" t="s">
        <v>2446</v>
      </c>
      <c r="E54" t="s">
        <v>2425</v>
      </c>
      <c r="F54" t="s">
        <v>2447</v>
      </c>
      <c r="G54" t="s">
        <v>28</v>
      </c>
      <c r="H54" t="s">
        <v>28</v>
      </c>
      <c r="I54" t="s">
        <v>806</v>
      </c>
    </row>
    <row r="55" spans="1:9" ht="11.25" customHeight="1">
      <c r="A55" t="s">
        <v>2246</v>
      </c>
      <c r="B55" t="s">
        <v>16</v>
      </c>
      <c r="C55" t="s">
        <v>2448</v>
      </c>
      <c r="D55" t="s">
        <v>2449</v>
      </c>
      <c r="E55" t="s">
        <v>2425</v>
      </c>
      <c r="F55" t="s">
        <v>2450</v>
      </c>
      <c r="G55" t="s">
        <v>28</v>
      </c>
      <c r="H55" t="s">
        <v>28</v>
      </c>
      <c r="I55" t="s">
        <v>806</v>
      </c>
    </row>
    <row r="56" spans="1:9" ht="11.25" customHeight="1">
      <c r="A56" t="s">
        <v>2246</v>
      </c>
      <c r="B56" t="s">
        <v>16</v>
      </c>
      <c r="C56" t="s">
        <v>2451</v>
      </c>
      <c r="D56" t="s">
        <v>2452</v>
      </c>
      <c r="E56" t="s">
        <v>2425</v>
      </c>
      <c r="F56" t="s">
        <v>2453</v>
      </c>
      <c r="G56" t="s">
        <v>28</v>
      </c>
      <c r="H56" t="s">
        <v>28</v>
      </c>
      <c r="I56" t="s">
        <v>806</v>
      </c>
    </row>
    <row r="57" spans="1:9" ht="11.25" customHeight="1">
      <c r="A57" t="s">
        <v>2246</v>
      </c>
      <c r="B57" t="s">
        <v>16</v>
      </c>
      <c r="C57" t="s">
        <v>2454</v>
      </c>
      <c r="D57" t="s">
        <v>2455</v>
      </c>
      <c r="E57" t="s">
        <v>2425</v>
      </c>
      <c r="F57" t="s">
        <v>2456</v>
      </c>
      <c r="G57" t="s">
        <v>28</v>
      </c>
      <c r="H57" t="s">
        <v>28</v>
      </c>
      <c r="I57" t="s">
        <v>806</v>
      </c>
    </row>
    <row r="58" spans="1:9" ht="11.25" customHeight="1">
      <c r="A58" t="s">
        <v>2246</v>
      </c>
      <c r="B58" t="s">
        <v>16</v>
      </c>
      <c r="C58" t="s">
        <v>2457</v>
      </c>
      <c r="D58" t="s">
        <v>2458</v>
      </c>
      <c r="E58" t="s">
        <v>2425</v>
      </c>
      <c r="F58" t="s">
        <v>2459</v>
      </c>
      <c r="G58" t="s">
        <v>28</v>
      </c>
      <c r="H58" t="s">
        <v>28</v>
      </c>
      <c r="I58" t="s">
        <v>806</v>
      </c>
    </row>
    <row r="59" spans="1:9" ht="11.25" customHeight="1">
      <c r="A59" t="s">
        <v>2246</v>
      </c>
      <c r="B59" t="s">
        <v>16</v>
      </c>
      <c r="C59" t="s">
        <v>2460</v>
      </c>
      <c r="D59" t="s">
        <v>2461</v>
      </c>
      <c r="E59" t="s">
        <v>2425</v>
      </c>
      <c r="F59" t="s">
        <v>2462</v>
      </c>
      <c r="G59" t="s">
        <v>28</v>
      </c>
      <c r="H59" t="s">
        <v>28</v>
      </c>
      <c r="I59" t="s">
        <v>806</v>
      </c>
    </row>
    <row r="60" spans="1:9" ht="11.25" customHeight="1">
      <c r="A60" t="s">
        <v>2246</v>
      </c>
      <c r="B60" t="s">
        <v>16</v>
      </c>
      <c r="C60" t="s">
        <v>2463</v>
      </c>
      <c r="D60" t="s">
        <v>2464</v>
      </c>
      <c r="E60" t="s">
        <v>2425</v>
      </c>
      <c r="F60" t="s">
        <v>2465</v>
      </c>
      <c r="G60" t="s">
        <v>28</v>
      </c>
      <c r="H60" t="s">
        <v>28</v>
      </c>
      <c r="I60" t="s">
        <v>806</v>
      </c>
    </row>
    <row r="61" spans="1:9" ht="11.25" customHeight="1">
      <c r="A61" t="s">
        <v>2246</v>
      </c>
      <c r="B61" t="s">
        <v>16</v>
      </c>
      <c r="C61" t="s">
        <v>2466</v>
      </c>
      <c r="D61" t="s">
        <v>2467</v>
      </c>
      <c r="E61" t="s">
        <v>2468</v>
      </c>
      <c r="F61" t="s">
        <v>2268</v>
      </c>
      <c r="G61" t="s">
        <v>2469</v>
      </c>
      <c r="H61" t="s">
        <v>28</v>
      </c>
      <c r="I61" t="s">
        <v>806</v>
      </c>
    </row>
    <row r="62" spans="1:9" ht="11.25" customHeight="1">
      <c r="A62" t="s">
        <v>2246</v>
      </c>
      <c r="B62" t="s">
        <v>16</v>
      </c>
      <c r="C62" t="s">
        <v>2470</v>
      </c>
      <c r="D62" t="s">
        <v>2471</v>
      </c>
      <c r="E62" t="s">
        <v>2472</v>
      </c>
      <c r="F62" t="s">
        <v>2332</v>
      </c>
      <c r="G62" t="s">
        <v>2473</v>
      </c>
      <c r="H62" t="s">
        <v>28</v>
      </c>
      <c r="I62" t="s">
        <v>806</v>
      </c>
    </row>
    <row r="63" spans="1:9" ht="11.25" customHeight="1">
      <c r="A63" t="s">
        <v>2246</v>
      </c>
      <c r="B63" t="s">
        <v>16</v>
      </c>
      <c r="C63" t="s">
        <v>2474</v>
      </c>
      <c r="D63" t="s">
        <v>2475</v>
      </c>
      <c r="E63" t="s">
        <v>2476</v>
      </c>
      <c r="F63" t="s">
        <v>2250</v>
      </c>
      <c r="G63" t="s">
        <v>2348</v>
      </c>
      <c r="H63" t="s">
        <v>28</v>
      </c>
      <c r="I63" t="s">
        <v>806</v>
      </c>
    </row>
    <row r="64" spans="1:9" ht="11.25" customHeight="1">
      <c r="A64" t="s">
        <v>2246</v>
      </c>
      <c r="B64" t="s">
        <v>16</v>
      </c>
      <c r="C64" t="s">
        <v>2477</v>
      </c>
      <c r="D64" t="s">
        <v>2478</v>
      </c>
      <c r="E64" t="s">
        <v>2479</v>
      </c>
      <c r="F64" t="s">
        <v>2250</v>
      </c>
      <c r="G64" t="s">
        <v>28</v>
      </c>
      <c r="H64" t="s">
        <v>28</v>
      </c>
      <c r="I64" t="s">
        <v>806</v>
      </c>
    </row>
    <row r="65" spans="1:9" ht="11.25" customHeight="1">
      <c r="A65" t="s">
        <v>2246</v>
      </c>
      <c r="B65" t="s">
        <v>16</v>
      </c>
      <c r="C65" t="s">
        <v>2480</v>
      </c>
      <c r="D65" t="s">
        <v>2481</v>
      </c>
      <c r="E65" t="s">
        <v>2482</v>
      </c>
      <c r="F65" t="s">
        <v>2268</v>
      </c>
      <c r="G65" t="s">
        <v>2483</v>
      </c>
      <c r="H65" t="s">
        <v>28</v>
      </c>
      <c r="I65" t="s">
        <v>806</v>
      </c>
    </row>
    <row r="66" spans="1:9" ht="11.25" customHeight="1">
      <c r="A66" t="s">
        <v>2246</v>
      </c>
      <c r="B66" t="s">
        <v>16</v>
      </c>
      <c r="C66" t="s">
        <v>2484</v>
      </c>
      <c r="D66" t="s">
        <v>2485</v>
      </c>
      <c r="E66" t="s">
        <v>2486</v>
      </c>
      <c r="F66" t="s">
        <v>50</v>
      </c>
      <c r="G66" t="s">
        <v>28</v>
      </c>
      <c r="H66" t="s">
        <v>28</v>
      </c>
      <c r="I66" t="s">
        <v>806</v>
      </c>
    </row>
    <row r="67" spans="1:9" ht="11.25" customHeight="1">
      <c r="A67" t="s">
        <v>2246</v>
      </c>
      <c r="B67" t="s">
        <v>16</v>
      </c>
      <c r="C67" t="s">
        <v>2487</v>
      </c>
      <c r="D67" t="s">
        <v>2488</v>
      </c>
      <c r="E67" t="s">
        <v>2486</v>
      </c>
      <c r="F67" t="s">
        <v>2462</v>
      </c>
      <c r="G67" t="s">
        <v>28</v>
      </c>
      <c r="H67" t="s">
        <v>28</v>
      </c>
      <c r="I67" t="s">
        <v>806</v>
      </c>
    </row>
    <row r="68" spans="1:9" ht="11.25" customHeight="1">
      <c r="A68" t="s">
        <v>2246</v>
      </c>
      <c r="B68" t="s">
        <v>16</v>
      </c>
      <c r="C68" t="s">
        <v>2489</v>
      </c>
      <c r="D68" t="s">
        <v>2490</v>
      </c>
      <c r="E68" t="s">
        <v>2486</v>
      </c>
      <c r="F68" t="s">
        <v>2491</v>
      </c>
      <c r="G68" t="s">
        <v>28</v>
      </c>
      <c r="H68" t="s">
        <v>28</v>
      </c>
      <c r="I68" t="s">
        <v>806</v>
      </c>
    </row>
    <row r="69" spans="1:9" ht="11.25" customHeight="1">
      <c r="A69" t="s">
        <v>2246</v>
      </c>
      <c r="B69" t="s">
        <v>16</v>
      </c>
      <c r="C69" t="s">
        <v>2492</v>
      </c>
      <c r="D69" t="s">
        <v>2493</v>
      </c>
      <c r="E69" t="s">
        <v>2486</v>
      </c>
      <c r="F69" t="s">
        <v>2494</v>
      </c>
      <c r="G69" t="s">
        <v>28</v>
      </c>
      <c r="H69" t="s">
        <v>28</v>
      </c>
      <c r="I69" t="s">
        <v>806</v>
      </c>
    </row>
    <row r="70" spans="1:9" ht="11.25" customHeight="1">
      <c r="A70" t="s">
        <v>2246</v>
      </c>
      <c r="B70" t="s">
        <v>16</v>
      </c>
      <c r="C70" t="s">
        <v>2495</v>
      </c>
      <c r="D70" t="s">
        <v>2496</v>
      </c>
      <c r="E70" t="s">
        <v>2486</v>
      </c>
      <c r="F70" t="s">
        <v>2497</v>
      </c>
      <c r="G70" t="s">
        <v>28</v>
      </c>
      <c r="H70" t="s">
        <v>28</v>
      </c>
      <c r="I70" t="s">
        <v>806</v>
      </c>
    </row>
    <row r="71" spans="1:9" ht="11.25" customHeight="1">
      <c r="A71" t="s">
        <v>2246</v>
      </c>
      <c r="B71" t="s">
        <v>16</v>
      </c>
      <c r="C71" t="s">
        <v>2498</v>
      </c>
      <c r="D71" t="s">
        <v>2499</v>
      </c>
      <c r="E71" t="s">
        <v>2486</v>
      </c>
      <c r="F71" t="s">
        <v>2500</v>
      </c>
      <c r="G71" t="s">
        <v>28</v>
      </c>
      <c r="H71" t="s">
        <v>28</v>
      </c>
      <c r="I71" t="s">
        <v>806</v>
      </c>
    </row>
    <row r="72" spans="1:9" ht="11.25" customHeight="1">
      <c r="A72" t="s">
        <v>2246</v>
      </c>
      <c r="B72" t="s">
        <v>16</v>
      </c>
      <c r="C72" t="s">
        <v>2501</v>
      </c>
      <c r="D72" t="s">
        <v>2502</v>
      </c>
      <c r="E72" t="s">
        <v>2486</v>
      </c>
      <c r="F72" t="s">
        <v>2503</v>
      </c>
      <c r="G72" t="s">
        <v>28</v>
      </c>
      <c r="H72" t="s">
        <v>28</v>
      </c>
      <c r="I72" t="s">
        <v>806</v>
      </c>
    </row>
    <row r="73" spans="1:9" ht="11.25" customHeight="1">
      <c r="A73" t="s">
        <v>2246</v>
      </c>
      <c r="B73" t="s">
        <v>16</v>
      </c>
      <c r="C73" t="s">
        <v>2504</v>
      </c>
      <c r="D73" t="s">
        <v>2505</v>
      </c>
      <c r="E73" t="s">
        <v>2486</v>
      </c>
      <c r="F73" t="s">
        <v>2506</v>
      </c>
      <c r="G73" t="s">
        <v>28</v>
      </c>
      <c r="H73" t="s">
        <v>28</v>
      </c>
      <c r="I73" t="s">
        <v>806</v>
      </c>
    </row>
    <row r="74" spans="1:9" ht="11.25" customHeight="1">
      <c r="A74" t="s">
        <v>2246</v>
      </c>
      <c r="B74" t="s">
        <v>16</v>
      </c>
      <c r="C74" t="s">
        <v>2507</v>
      </c>
      <c r="D74" t="s">
        <v>2508</v>
      </c>
      <c r="E74" t="s">
        <v>2486</v>
      </c>
      <c r="F74" t="s">
        <v>2509</v>
      </c>
      <c r="G74" t="s">
        <v>28</v>
      </c>
      <c r="H74" t="s">
        <v>28</v>
      </c>
      <c r="I74" t="s">
        <v>806</v>
      </c>
    </row>
    <row r="75" spans="1:9" ht="11.25" customHeight="1">
      <c r="A75" t="s">
        <v>2246</v>
      </c>
      <c r="B75" t="s">
        <v>16</v>
      </c>
      <c r="C75" t="s">
        <v>2510</v>
      </c>
      <c r="D75" t="s">
        <v>2511</v>
      </c>
      <c r="E75" t="s">
        <v>2486</v>
      </c>
      <c r="F75" t="s">
        <v>2512</v>
      </c>
      <c r="G75" t="s">
        <v>28</v>
      </c>
      <c r="H75" t="s">
        <v>28</v>
      </c>
      <c r="I75" t="s">
        <v>806</v>
      </c>
    </row>
    <row r="76" spans="1:9" ht="11.25" customHeight="1">
      <c r="A76" t="s">
        <v>2246</v>
      </c>
      <c r="B76" t="s">
        <v>16</v>
      </c>
      <c r="C76" t="s">
        <v>2513</v>
      </c>
      <c r="D76" t="s">
        <v>2514</v>
      </c>
      <c r="E76" t="s">
        <v>2486</v>
      </c>
      <c r="F76" t="s">
        <v>2515</v>
      </c>
      <c r="G76" t="s">
        <v>28</v>
      </c>
      <c r="H76" t="s">
        <v>28</v>
      </c>
      <c r="I76" t="s">
        <v>806</v>
      </c>
    </row>
    <row r="77" spans="1:9" ht="11.25" customHeight="1">
      <c r="A77" t="s">
        <v>2246</v>
      </c>
      <c r="B77" t="s">
        <v>16</v>
      </c>
      <c r="C77" t="s">
        <v>2516</v>
      </c>
      <c r="D77" t="s">
        <v>2517</v>
      </c>
      <c r="E77" t="s">
        <v>2486</v>
      </c>
      <c r="F77" t="s">
        <v>2518</v>
      </c>
      <c r="G77" t="s">
        <v>28</v>
      </c>
      <c r="H77" t="s">
        <v>28</v>
      </c>
      <c r="I77" t="s">
        <v>806</v>
      </c>
    </row>
    <row r="78" spans="1:9" ht="11.25" customHeight="1">
      <c r="A78" t="s">
        <v>2246</v>
      </c>
      <c r="B78" t="s">
        <v>16</v>
      </c>
      <c r="C78" t="s">
        <v>2519</v>
      </c>
      <c r="D78" t="s">
        <v>2520</v>
      </c>
      <c r="E78" t="s">
        <v>2486</v>
      </c>
      <c r="F78" t="s">
        <v>2521</v>
      </c>
      <c r="G78" t="s">
        <v>28</v>
      </c>
      <c r="H78" t="s">
        <v>28</v>
      </c>
      <c r="I78" t="s">
        <v>806</v>
      </c>
    </row>
    <row r="79" spans="1:9" ht="11.25" customHeight="1">
      <c r="A79" t="s">
        <v>2246</v>
      </c>
      <c r="B79" t="s">
        <v>16</v>
      </c>
      <c r="C79" t="s">
        <v>2522</v>
      </c>
      <c r="D79" t="s">
        <v>2523</v>
      </c>
      <c r="E79" t="s">
        <v>2486</v>
      </c>
      <c r="F79" t="s">
        <v>2524</v>
      </c>
      <c r="G79" t="s">
        <v>28</v>
      </c>
      <c r="H79" t="s">
        <v>28</v>
      </c>
      <c r="I79" t="s">
        <v>806</v>
      </c>
    </row>
    <row r="80" spans="1:9" ht="11.25" customHeight="1">
      <c r="A80" t="s">
        <v>2246</v>
      </c>
      <c r="B80" t="s">
        <v>16</v>
      </c>
      <c r="C80" t="s">
        <v>2525</v>
      </c>
      <c r="D80" t="s">
        <v>2526</v>
      </c>
      <c r="E80" t="s">
        <v>2486</v>
      </c>
      <c r="F80" t="s">
        <v>2527</v>
      </c>
      <c r="G80" t="s">
        <v>28</v>
      </c>
      <c r="H80" t="s">
        <v>28</v>
      </c>
      <c r="I80" t="s">
        <v>806</v>
      </c>
    </row>
    <row r="81" spans="1:9" ht="11.25" customHeight="1">
      <c r="A81" t="s">
        <v>2246</v>
      </c>
      <c r="B81" t="s">
        <v>16</v>
      </c>
      <c r="C81" t="s">
        <v>2528</v>
      </c>
      <c r="D81" t="s">
        <v>2529</v>
      </c>
      <c r="E81" t="s">
        <v>2486</v>
      </c>
      <c r="F81" t="s">
        <v>2530</v>
      </c>
      <c r="G81" t="s">
        <v>28</v>
      </c>
      <c r="H81" t="s">
        <v>28</v>
      </c>
      <c r="I81" t="s">
        <v>806</v>
      </c>
    </row>
    <row r="82" spans="1:9" ht="11.25" customHeight="1">
      <c r="A82" t="s">
        <v>2246</v>
      </c>
      <c r="B82" t="s">
        <v>16</v>
      </c>
      <c r="C82" t="s">
        <v>2531</v>
      </c>
      <c r="D82" t="s">
        <v>2532</v>
      </c>
      <c r="E82" t="s">
        <v>2486</v>
      </c>
      <c r="F82" t="s">
        <v>2533</v>
      </c>
      <c r="G82" t="s">
        <v>28</v>
      </c>
      <c r="H82" t="s">
        <v>28</v>
      </c>
      <c r="I82" t="s">
        <v>806</v>
      </c>
    </row>
    <row r="83" spans="1:9" ht="11.25" customHeight="1">
      <c r="A83" t="s">
        <v>2246</v>
      </c>
      <c r="B83" t="s">
        <v>16</v>
      </c>
      <c r="C83" t="s">
        <v>2534</v>
      </c>
      <c r="D83" t="s">
        <v>2535</v>
      </c>
      <c r="E83" t="s">
        <v>2317</v>
      </c>
      <c r="F83" t="s">
        <v>2536</v>
      </c>
      <c r="G83" t="s">
        <v>28</v>
      </c>
      <c r="H83" t="s">
        <v>28</v>
      </c>
      <c r="I83" t="s">
        <v>806</v>
      </c>
    </row>
    <row r="84" spans="1:9" ht="11.25" customHeight="1">
      <c r="A84" t="s">
        <v>2246</v>
      </c>
      <c r="B84" t="s">
        <v>16</v>
      </c>
      <c r="C84" t="s">
        <v>2537</v>
      </c>
      <c r="D84" t="s">
        <v>2538</v>
      </c>
      <c r="E84" t="s">
        <v>2539</v>
      </c>
      <c r="F84" t="s">
        <v>2540</v>
      </c>
      <c r="G84" t="s">
        <v>28</v>
      </c>
      <c r="H84" t="s">
        <v>28</v>
      </c>
      <c r="I84" t="s">
        <v>806</v>
      </c>
    </row>
    <row r="85" spans="1:9" ht="11.25" customHeight="1">
      <c r="A85" t="s">
        <v>2246</v>
      </c>
      <c r="B85" t="s">
        <v>16</v>
      </c>
      <c r="C85" t="s">
        <v>2541</v>
      </c>
      <c r="D85" t="s">
        <v>2542</v>
      </c>
      <c r="E85" t="s">
        <v>2543</v>
      </c>
      <c r="F85" t="s">
        <v>2544</v>
      </c>
      <c r="G85" t="s">
        <v>28</v>
      </c>
      <c r="H85" t="s">
        <v>28</v>
      </c>
      <c r="I85" t="s">
        <v>806</v>
      </c>
    </row>
    <row r="86" spans="1:9" ht="11.25" customHeight="1">
      <c r="A86" t="s">
        <v>2246</v>
      </c>
      <c r="B86" t="s">
        <v>16</v>
      </c>
      <c r="C86" t="s">
        <v>2545</v>
      </c>
      <c r="D86" t="s">
        <v>2546</v>
      </c>
      <c r="E86" t="s">
        <v>2547</v>
      </c>
      <c r="F86" t="s">
        <v>2303</v>
      </c>
      <c r="G86" t="s">
        <v>28</v>
      </c>
      <c r="H86" t="s">
        <v>28</v>
      </c>
      <c r="I86" t="s">
        <v>806</v>
      </c>
    </row>
    <row r="87" spans="1:9" ht="11.25" customHeight="1">
      <c r="A87" t="s">
        <v>2246</v>
      </c>
      <c r="B87" t="s">
        <v>16</v>
      </c>
      <c r="C87" t="s">
        <v>2548</v>
      </c>
      <c r="D87" t="s">
        <v>2549</v>
      </c>
      <c r="E87" t="s">
        <v>2550</v>
      </c>
      <c r="F87" t="s">
        <v>50</v>
      </c>
      <c r="G87" t="s">
        <v>28</v>
      </c>
      <c r="H87" t="s">
        <v>28</v>
      </c>
      <c r="I87" t="s">
        <v>806</v>
      </c>
    </row>
    <row r="88" spans="1:9" ht="11.25" customHeight="1">
      <c r="A88" t="s">
        <v>2246</v>
      </c>
      <c r="B88" t="s">
        <v>16</v>
      </c>
      <c r="C88" t="s">
        <v>2551</v>
      </c>
      <c r="D88" t="s">
        <v>2552</v>
      </c>
      <c r="E88" t="s">
        <v>2553</v>
      </c>
      <c r="F88" t="s">
        <v>2384</v>
      </c>
      <c r="G88" t="s">
        <v>28</v>
      </c>
      <c r="H88" t="s">
        <v>28</v>
      </c>
      <c r="I88" t="s">
        <v>806</v>
      </c>
    </row>
    <row r="89" spans="1:9" ht="11.25" customHeight="1">
      <c r="A89" t="s">
        <v>2246</v>
      </c>
      <c r="B89" t="s">
        <v>16</v>
      </c>
      <c r="C89" t="s">
        <v>2554</v>
      </c>
      <c r="D89" t="s">
        <v>2555</v>
      </c>
      <c r="E89" t="s">
        <v>2556</v>
      </c>
      <c r="F89" t="s">
        <v>2332</v>
      </c>
      <c r="G89" t="s">
        <v>28</v>
      </c>
      <c r="H89" t="s">
        <v>28</v>
      </c>
      <c r="I89" t="s">
        <v>806</v>
      </c>
    </row>
    <row r="90" spans="1:9" ht="11.25" customHeight="1">
      <c r="A90" t="s">
        <v>2246</v>
      </c>
      <c r="B90" t="s">
        <v>16</v>
      </c>
      <c r="C90" t="s">
        <v>2557</v>
      </c>
      <c r="D90" t="s">
        <v>2558</v>
      </c>
      <c r="E90" t="s">
        <v>2559</v>
      </c>
      <c r="F90" t="s">
        <v>2560</v>
      </c>
      <c r="G90" t="s">
        <v>28</v>
      </c>
      <c r="H90" t="s">
        <v>28</v>
      </c>
      <c r="I90" t="s">
        <v>806</v>
      </c>
    </row>
    <row r="91" spans="1:9" ht="11.25" customHeight="1">
      <c r="A91" t="s">
        <v>2246</v>
      </c>
      <c r="B91" t="s">
        <v>16</v>
      </c>
      <c r="C91" t="s">
        <v>2561</v>
      </c>
      <c r="D91" t="s">
        <v>2562</v>
      </c>
      <c r="E91" t="s">
        <v>2563</v>
      </c>
      <c r="F91" t="s">
        <v>2332</v>
      </c>
      <c r="G91" t="s">
        <v>2564</v>
      </c>
      <c r="H91" t="s">
        <v>28</v>
      </c>
      <c r="I91" t="s">
        <v>806</v>
      </c>
    </row>
    <row r="92" spans="1:9" ht="11.25" customHeight="1">
      <c r="A92" t="s">
        <v>2246</v>
      </c>
      <c r="B92" t="s">
        <v>16</v>
      </c>
      <c r="C92" t="s">
        <v>2565</v>
      </c>
      <c r="D92" t="s">
        <v>2566</v>
      </c>
      <c r="E92" t="s">
        <v>2567</v>
      </c>
      <c r="F92" t="s">
        <v>2313</v>
      </c>
      <c r="G92" t="s">
        <v>28</v>
      </c>
      <c r="H92" t="s">
        <v>28</v>
      </c>
      <c r="I92" t="s">
        <v>806</v>
      </c>
    </row>
    <row r="93" spans="1:9" ht="11.25" customHeight="1">
      <c r="A93" t="s">
        <v>2246</v>
      </c>
      <c r="B93" t="s">
        <v>16</v>
      </c>
      <c r="C93" t="s">
        <v>2568</v>
      </c>
      <c r="D93" t="s">
        <v>2569</v>
      </c>
      <c r="E93" t="s">
        <v>2570</v>
      </c>
      <c r="F93" t="s">
        <v>2250</v>
      </c>
      <c r="G93" t="s">
        <v>28</v>
      </c>
      <c r="H93" t="s">
        <v>28</v>
      </c>
      <c r="I93" t="s">
        <v>806</v>
      </c>
    </row>
    <row r="94" spans="1:9" ht="11.25" customHeight="1">
      <c r="A94" t="s">
        <v>2246</v>
      </c>
      <c r="B94" t="s">
        <v>16</v>
      </c>
      <c r="C94" t="s">
        <v>2571</v>
      </c>
      <c r="D94" t="s">
        <v>2572</v>
      </c>
      <c r="E94" t="s">
        <v>2573</v>
      </c>
      <c r="F94" t="s">
        <v>2574</v>
      </c>
      <c r="G94" t="s">
        <v>28</v>
      </c>
      <c r="H94" t="s">
        <v>28</v>
      </c>
      <c r="I94" t="s">
        <v>806</v>
      </c>
    </row>
    <row r="95" spans="1:9" ht="11.25" customHeight="1">
      <c r="A95" t="s">
        <v>2246</v>
      </c>
      <c r="B95" t="s">
        <v>16</v>
      </c>
      <c r="C95" t="s">
        <v>2575</v>
      </c>
      <c r="D95" t="s">
        <v>2576</v>
      </c>
      <c r="E95" t="s">
        <v>2577</v>
      </c>
      <c r="F95" t="s">
        <v>2574</v>
      </c>
      <c r="G95" t="s">
        <v>2578</v>
      </c>
      <c r="H95" t="s">
        <v>28</v>
      </c>
      <c r="I95" t="s">
        <v>806</v>
      </c>
    </row>
    <row r="96" spans="1:9" ht="11.25" customHeight="1">
      <c r="A96" t="s">
        <v>2246</v>
      </c>
      <c r="B96" t="s">
        <v>16</v>
      </c>
      <c r="C96" t="s">
        <v>2579</v>
      </c>
      <c r="D96" t="s">
        <v>2580</v>
      </c>
      <c r="E96" t="s">
        <v>2581</v>
      </c>
      <c r="F96" t="s">
        <v>2582</v>
      </c>
      <c r="G96" t="s">
        <v>2583</v>
      </c>
      <c r="H96" t="s">
        <v>28</v>
      </c>
      <c r="I96" t="s">
        <v>806</v>
      </c>
    </row>
    <row r="97" spans="1:9" ht="11.25" customHeight="1">
      <c r="A97" t="s">
        <v>2246</v>
      </c>
      <c r="B97" t="s">
        <v>16</v>
      </c>
      <c r="C97" t="s">
        <v>2584</v>
      </c>
      <c r="D97" t="s">
        <v>2585</v>
      </c>
      <c r="E97" t="s">
        <v>2586</v>
      </c>
      <c r="F97" t="s">
        <v>2332</v>
      </c>
      <c r="G97" t="s">
        <v>2587</v>
      </c>
      <c r="H97" t="s">
        <v>28</v>
      </c>
      <c r="I97" t="s">
        <v>806</v>
      </c>
    </row>
    <row r="98" spans="1:9" ht="11.25" customHeight="1">
      <c r="A98" t="s">
        <v>2246</v>
      </c>
      <c r="B98" t="s">
        <v>16</v>
      </c>
      <c r="C98" t="s">
        <v>2588</v>
      </c>
      <c r="D98" t="s">
        <v>2589</v>
      </c>
      <c r="E98" t="s">
        <v>2590</v>
      </c>
      <c r="F98" t="s">
        <v>2343</v>
      </c>
      <c r="G98" t="s">
        <v>2591</v>
      </c>
      <c r="H98" t="s">
        <v>28</v>
      </c>
      <c r="I98" t="s">
        <v>806</v>
      </c>
    </row>
    <row r="99" spans="1:9" ht="11.25" customHeight="1">
      <c r="A99" t="s">
        <v>2246</v>
      </c>
      <c r="B99" t="s">
        <v>16</v>
      </c>
      <c r="C99" t="s">
        <v>2592</v>
      </c>
      <c r="D99" t="s">
        <v>2593</v>
      </c>
      <c r="E99" t="s">
        <v>2594</v>
      </c>
      <c r="F99" t="s">
        <v>2384</v>
      </c>
      <c r="G99" t="s">
        <v>28</v>
      </c>
      <c r="H99" t="s">
        <v>28</v>
      </c>
      <c r="I99" t="s">
        <v>806</v>
      </c>
    </row>
    <row r="100" spans="1:9" ht="11.25" customHeight="1">
      <c r="A100" t="s">
        <v>2246</v>
      </c>
      <c r="B100" t="s">
        <v>16</v>
      </c>
      <c r="C100" t="s">
        <v>2595</v>
      </c>
      <c r="D100" t="s">
        <v>2596</v>
      </c>
      <c r="E100" t="s">
        <v>2597</v>
      </c>
      <c r="F100" t="s">
        <v>2343</v>
      </c>
      <c r="G100" t="s">
        <v>28</v>
      </c>
      <c r="H100" t="s">
        <v>28</v>
      </c>
      <c r="I100" t="s">
        <v>806</v>
      </c>
    </row>
    <row r="101" spans="1:9" ht="11.25" customHeight="1">
      <c r="A101" t="s">
        <v>2246</v>
      </c>
      <c r="B101" t="s">
        <v>16</v>
      </c>
      <c r="C101" t="s">
        <v>2598</v>
      </c>
      <c r="D101" t="s">
        <v>2599</v>
      </c>
      <c r="E101" t="s">
        <v>2600</v>
      </c>
      <c r="F101" t="s">
        <v>2352</v>
      </c>
      <c r="G101" t="s">
        <v>28</v>
      </c>
      <c r="H101" t="s">
        <v>28</v>
      </c>
      <c r="I101" t="s">
        <v>806</v>
      </c>
    </row>
    <row r="102" spans="1:9" ht="11.25" customHeight="1">
      <c r="A102" t="s">
        <v>2246</v>
      </c>
      <c r="B102" t="s">
        <v>16</v>
      </c>
      <c r="C102" t="s">
        <v>2601</v>
      </c>
      <c r="D102" t="s">
        <v>2602</v>
      </c>
      <c r="E102" t="s">
        <v>2603</v>
      </c>
      <c r="F102" t="s">
        <v>2303</v>
      </c>
      <c r="G102" t="s">
        <v>28</v>
      </c>
      <c r="H102" t="s">
        <v>28</v>
      </c>
      <c r="I102" t="s">
        <v>806</v>
      </c>
    </row>
    <row r="103" spans="1:9" ht="11.25" customHeight="1">
      <c r="A103" t="s">
        <v>2246</v>
      </c>
      <c r="B103" t="s">
        <v>16</v>
      </c>
      <c r="C103" t="s">
        <v>2604</v>
      </c>
      <c r="D103" t="s">
        <v>2605</v>
      </c>
      <c r="E103" t="s">
        <v>2606</v>
      </c>
      <c r="F103" t="s">
        <v>2370</v>
      </c>
      <c r="G103" t="s">
        <v>2607</v>
      </c>
      <c r="H103" t="s">
        <v>28</v>
      </c>
      <c r="I103" t="s">
        <v>806</v>
      </c>
    </row>
    <row r="104" spans="1:9" ht="11.25" customHeight="1">
      <c r="A104" t="s">
        <v>2246</v>
      </c>
      <c r="B104" t="s">
        <v>16</v>
      </c>
      <c r="C104" t="s">
        <v>2608</v>
      </c>
      <c r="D104" t="s">
        <v>2609</v>
      </c>
      <c r="E104" t="s">
        <v>2610</v>
      </c>
      <c r="F104" t="s">
        <v>2250</v>
      </c>
      <c r="G104" t="s">
        <v>28</v>
      </c>
      <c r="H104" t="s">
        <v>28</v>
      </c>
      <c r="I104" t="s">
        <v>806</v>
      </c>
    </row>
    <row r="105" spans="1:9" ht="11.25" customHeight="1">
      <c r="A105" t="s">
        <v>2246</v>
      </c>
      <c r="B105" t="s">
        <v>16</v>
      </c>
      <c r="C105" t="s">
        <v>2611</v>
      </c>
      <c r="D105" t="s">
        <v>2612</v>
      </c>
      <c r="E105" t="s">
        <v>2613</v>
      </c>
      <c r="F105" t="s">
        <v>2325</v>
      </c>
      <c r="G105" t="s">
        <v>28</v>
      </c>
      <c r="H105" t="s">
        <v>28</v>
      </c>
      <c r="I105" t="s">
        <v>806</v>
      </c>
    </row>
    <row r="106" spans="1:9" ht="11.25" customHeight="1">
      <c r="A106" t="s">
        <v>2246</v>
      </c>
      <c r="B106" t="s">
        <v>16</v>
      </c>
      <c r="C106" t="s">
        <v>2614</v>
      </c>
      <c r="D106" t="s">
        <v>2615</v>
      </c>
      <c r="E106" t="s">
        <v>2616</v>
      </c>
      <c r="F106" t="s">
        <v>2560</v>
      </c>
      <c r="G106" t="s">
        <v>28</v>
      </c>
      <c r="H106" t="s">
        <v>28</v>
      </c>
      <c r="I106" t="s">
        <v>806</v>
      </c>
    </row>
    <row r="107" spans="1:9" ht="11.25" customHeight="1">
      <c r="A107" t="s">
        <v>2246</v>
      </c>
      <c r="B107" t="s">
        <v>16</v>
      </c>
      <c r="C107" t="s">
        <v>2617</v>
      </c>
      <c r="D107" t="s">
        <v>2618</v>
      </c>
      <c r="E107" t="s">
        <v>2619</v>
      </c>
      <c r="F107" t="s">
        <v>2325</v>
      </c>
      <c r="G107" t="s">
        <v>28</v>
      </c>
      <c r="H107" t="s">
        <v>28</v>
      </c>
      <c r="I107" t="s">
        <v>806</v>
      </c>
    </row>
    <row r="108" spans="1:9" ht="11.25" customHeight="1">
      <c r="A108" t="s">
        <v>2246</v>
      </c>
      <c r="B108" t="s">
        <v>16</v>
      </c>
      <c r="C108" t="s">
        <v>2620</v>
      </c>
      <c r="D108" t="s">
        <v>2621</v>
      </c>
      <c r="E108" t="s">
        <v>2622</v>
      </c>
      <c r="F108" t="s">
        <v>2343</v>
      </c>
      <c r="G108" t="s">
        <v>28</v>
      </c>
      <c r="H108" t="s">
        <v>28</v>
      </c>
      <c r="I108" t="s">
        <v>806</v>
      </c>
    </row>
    <row r="109" spans="1:9" ht="11.25" customHeight="1">
      <c r="A109" t="s">
        <v>2246</v>
      </c>
      <c r="B109" t="s">
        <v>16</v>
      </c>
      <c r="C109" t="s">
        <v>2623</v>
      </c>
      <c r="D109" t="s">
        <v>2624</v>
      </c>
      <c r="E109" t="s">
        <v>2625</v>
      </c>
      <c r="F109" t="s">
        <v>2325</v>
      </c>
      <c r="G109" t="s">
        <v>28</v>
      </c>
      <c r="H109" t="s">
        <v>28</v>
      </c>
      <c r="I109" t="s">
        <v>806</v>
      </c>
    </row>
    <row r="110" spans="1:9" ht="11.25" customHeight="1">
      <c r="A110" t="s">
        <v>2246</v>
      </c>
      <c r="B110" t="s">
        <v>16</v>
      </c>
      <c r="C110" t="s">
        <v>2626</v>
      </c>
      <c r="D110" t="s">
        <v>2627</v>
      </c>
      <c r="E110" t="s">
        <v>2628</v>
      </c>
      <c r="F110" t="s">
        <v>2629</v>
      </c>
      <c r="G110" t="s">
        <v>2630</v>
      </c>
      <c r="H110" t="s">
        <v>28</v>
      </c>
      <c r="I110" t="s">
        <v>806</v>
      </c>
    </row>
    <row r="111" spans="1:9" ht="11.25" customHeight="1">
      <c r="A111" t="s">
        <v>2246</v>
      </c>
      <c r="B111" t="s">
        <v>16</v>
      </c>
      <c r="C111" t="s">
        <v>2631</v>
      </c>
      <c r="D111" t="s">
        <v>2632</v>
      </c>
      <c r="E111" t="s">
        <v>2633</v>
      </c>
      <c r="F111" t="s">
        <v>2325</v>
      </c>
      <c r="G111" t="s">
        <v>28</v>
      </c>
      <c r="H111" t="s">
        <v>28</v>
      </c>
      <c r="I111" t="s">
        <v>806</v>
      </c>
    </row>
    <row r="112" spans="1:9" ht="11.25" customHeight="1">
      <c r="A112" t="s">
        <v>2246</v>
      </c>
      <c r="B112" t="s">
        <v>16</v>
      </c>
      <c r="C112" t="s">
        <v>2634</v>
      </c>
      <c r="D112" t="s">
        <v>2635</v>
      </c>
      <c r="E112" t="s">
        <v>2636</v>
      </c>
      <c r="F112" t="s">
        <v>2637</v>
      </c>
      <c r="G112" t="s">
        <v>28</v>
      </c>
      <c r="H112" t="s">
        <v>28</v>
      </c>
      <c r="I112" t="s">
        <v>806</v>
      </c>
    </row>
    <row r="113" spans="1:9" ht="11.25" customHeight="1">
      <c r="A113" t="s">
        <v>2246</v>
      </c>
      <c r="B113" t="s">
        <v>16</v>
      </c>
      <c r="C113" t="s">
        <v>2638</v>
      </c>
      <c r="D113" t="s">
        <v>2639</v>
      </c>
      <c r="E113" t="s">
        <v>2636</v>
      </c>
      <c r="F113" t="s">
        <v>2343</v>
      </c>
      <c r="G113" t="s">
        <v>2483</v>
      </c>
      <c r="H113" t="s">
        <v>28</v>
      </c>
      <c r="I113" t="s">
        <v>806</v>
      </c>
    </row>
    <row r="114" spans="1:9" ht="11.25" customHeight="1">
      <c r="A114" t="s">
        <v>2246</v>
      </c>
      <c r="B114" t="s">
        <v>16</v>
      </c>
      <c r="C114" t="s">
        <v>2640</v>
      </c>
      <c r="D114" t="s">
        <v>2641</v>
      </c>
      <c r="E114" t="s">
        <v>2642</v>
      </c>
      <c r="F114" t="s">
        <v>2643</v>
      </c>
      <c r="G114" t="s">
        <v>28</v>
      </c>
      <c r="H114" t="s">
        <v>28</v>
      </c>
      <c r="I114" t="s">
        <v>806</v>
      </c>
    </row>
    <row r="115" spans="1:9" ht="11.25" customHeight="1">
      <c r="A115" t="s">
        <v>2246</v>
      </c>
      <c r="B115" t="s">
        <v>16</v>
      </c>
      <c r="C115" t="s">
        <v>2644</v>
      </c>
      <c r="D115" t="s">
        <v>2645</v>
      </c>
      <c r="E115" t="s">
        <v>2646</v>
      </c>
      <c r="F115" t="s">
        <v>2295</v>
      </c>
      <c r="G115" t="s">
        <v>2647</v>
      </c>
      <c r="H115" t="s">
        <v>28</v>
      </c>
      <c r="I115" t="s">
        <v>806</v>
      </c>
    </row>
    <row r="116" spans="1:9" ht="11.25" customHeight="1">
      <c r="A116" t="s">
        <v>2246</v>
      </c>
      <c r="B116" t="s">
        <v>16</v>
      </c>
      <c r="C116" t="s">
        <v>2648</v>
      </c>
      <c r="D116" t="s">
        <v>2649</v>
      </c>
      <c r="E116" t="s">
        <v>2650</v>
      </c>
      <c r="F116" t="s">
        <v>2303</v>
      </c>
      <c r="G116" t="s">
        <v>28</v>
      </c>
      <c r="H116" t="s">
        <v>28</v>
      </c>
      <c r="I116" t="s">
        <v>806</v>
      </c>
    </row>
    <row r="117" spans="1:9" ht="11.25" customHeight="1">
      <c r="A117" t="s">
        <v>2246</v>
      </c>
      <c r="B117" t="s">
        <v>16</v>
      </c>
      <c r="C117" t="s">
        <v>2651</v>
      </c>
      <c r="D117" t="s">
        <v>2652</v>
      </c>
      <c r="E117" t="s">
        <v>2653</v>
      </c>
      <c r="F117" t="s">
        <v>2250</v>
      </c>
      <c r="G117" t="s">
        <v>28</v>
      </c>
      <c r="H117" t="s">
        <v>28</v>
      </c>
      <c r="I117" t="s">
        <v>806</v>
      </c>
    </row>
    <row r="118" spans="1:9" ht="11.25" customHeight="1">
      <c r="A118" t="s">
        <v>2246</v>
      </c>
      <c r="B118" t="s">
        <v>16</v>
      </c>
      <c r="C118" t="s">
        <v>2654</v>
      </c>
      <c r="D118" t="s">
        <v>2655</v>
      </c>
      <c r="E118" t="s">
        <v>2656</v>
      </c>
      <c r="F118" t="s">
        <v>2657</v>
      </c>
      <c r="G118" t="s">
        <v>2658</v>
      </c>
      <c r="H118" t="s">
        <v>28</v>
      </c>
      <c r="I118" t="s">
        <v>806</v>
      </c>
    </row>
    <row r="119" spans="1:9" ht="11.25" customHeight="1">
      <c r="A119" t="s">
        <v>2246</v>
      </c>
      <c r="B119" t="s">
        <v>16</v>
      </c>
      <c r="C119" t="s">
        <v>2659</v>
      </c>
      <c r="D119" t="s">
        <v>2660</v>
      </c>
      <c r="E119" t="s">
        <v>2661</v>
      </c>
      <c r="F119" t="s">
        <v>2370</v>
      </c>
      <c r="G119" t="s">
        <v>2662</v>
      </c>
      <c r="H119" t="s">
        <v>28</v>
      </c>
      <c r="I119" t="s">
        <v>806</v>
      </c>
    </row>
    <row r="120" spans="1:9" ht="11.25" customHeight="1">
      <c r="A120" t="s">
        <v>2246</v>
      </c>
      <c r="B120" t="s">
        <v>16</v>
      </c>
      <c r="C120" t="s">
        <v>2663</v>
      </c>
      <c r="D120" t="s">
        <v>2664</v>
      </c>
      <c r="E120" t="s">
        <v>2665</v>
      </c>
      <c r="F120" t="s">
        <v>2286</v>
      </c>
      <c r="G120" t="s">
        <v>28</v>
      </c>
      <c r="H120" t="s">
        <v>28</v>
      </c>
      <c r="I120" t="s">
        <v>806</v>
      </c>
    </row>
    <row r="121" spans="1:9" ht="11.25" customHeight="1">
      <c r="A121" t="s">
        <v>2246</v>
      </c>
      <c r="B121" t="s">
        <v>16</v>
      </c>
      <c r="C121" t="s">
        <v>2666</v>
      </c>
      <c r="D121" t="s">
        <v>2667</v>
      </c>
      <c r="E121" t="s">
        <v>2408</v>
      </c>
      <c r="F121" t="s">
        <v>2668</v>
      </c>
      <c r="G121" t="s">
        <v>28</v>
      </c>
      <c r="H121" t="s">
        <v>28</v>
      </c>
      <c r="I121" t="s">
        <v>806</v>
      </c>
    </row>
    <row r="122" spans="1:9" ht="11.25" customHeight="1">
      <c r="A122" t="s">
        <v>2246</v>
      </c>
      <c r="B122" t="s">
        <v>16</v>
      </c>
      <c r="C122" t="s">
        <v>2669</v>
      </c>
      <c r="D122" t="s">
        <v>2670</v>
      </c>
      <c r="E122" t="s">
        <v>2671</v>
      </c>
      <c r="F122" t="s">
        <v>2295</v>
      </c>
      <c r="G122" t="s">
        <v>28</v>
      </c>
      <c r="H122" t="s">
        <v>28</v>
      </c>
      <c r="I122" t="s">
        <v>806</v>
      </c>
    </row>
    <row r="123" spans="1:9" ht="11.25" customHeight="1">
      <c r="A123" t="s">
        <v>2246</v>
      </c>
      <c r="B123" t="s">
        <v>16</v>
      </c>
      <c r="C123" t="s">
        <v>2672</v>
      </c>
      <c r="D123" t="s">
        <v>2673</v>
      </c>
      <c r="E123" t="s">
        <v>2674</v>
      </c>
      <c r="F123" t="s">
        <v>50</v>
      </c>
      <c r="G123" t="s">
        <v>28</v>
      </c>
      <c r="H123" t="s">
        <v>28</v>
      </c>
      <c r="I123" t="s">
        <v>806</v>
      </c>
    </row>
    <row r="124" spans="1:9" ht="11.25" customHeight="1">
      <c r="A124" t="s">
        <v>2246</v>
      </c>
      <c r="B124" t="s">
        <v>16</v>
      </c>
      <c r="C124" t="s">
        <v>2675</v>
      </c>
      <c r="D124" t="s">
        <v>2676</v>
      </c>
      <c r="E124" t="s">
        <v>2677</v>
      </c>
      <c r="F124" t="s">
        <v>2303</v>
      </c>
      <c r="G124" t="s">
        <v>28</v>
      </c>
      <c r="H124" t="s">
        <v>28</v>
      </c>
      <c r="I124" t="s">
        <v>806</v>
      </c>
    </row>
    <row r="125" spans="1:9" ht="11.25" customHeight="1">
      <c r="A125" t="s">
        <v>2246</v>
      </c>
      <c r="B125" t="s">
        <v>16</v>
      </c>
      <c r="C125" t="s">
        <v>2678</v>
      </c>
      <c r="D125" t="s">
        <v>2679</v>
      </c>
      <c r="E125" t="s">
        <v>2543</v>
      </c>
      <c r="F125" t="s">
        <v>2680</v>
      </c>
      <c r="G125" t="s">
        <v>28</v>
      </c>
      <c r="H125" t="s">
        <v>28</v>
      </c>
      <c r="I125" t="s">
        <v>806</v>
      </c>
    </row>
    <row r="126" spans="1:9" ht="11.25" customHeight="1">
      <c r="A126" t="s">
        <v>2246</v>
      </c>
      <c r="B126" t="s">
        <v>16</v>
      </c>
      <c r="C126" t="s">
        <v>2681</v>
      </c>
      <c r="D126" t="s">
        <v>2682</v>
      </c>
      <c r="E126" t="s">
        <v>2683</v>
      </c>
      <c r="F126" t="s">
        <v>2343</v>
      </c>
      <c r="G126" t="s">
        <v>28</v>
      </c>
      <c r="H126" t="s">
        <v>28</v>
      </c>
      <c r="I126" t="s">
        <v>806</v>
      </c>
    </row>
    <row r="127" spans="1:9" ht="11.25" customHeight="1">
      <c r="A127" t="s">
        <v>2246</v>
      </c>
      <c r="B127" t="s">
        <v>16</v>
      </c>
      <c r="C127" t="s">
        <v>2684</v>
      </c>
      <c r="D127" t="s">
        <v>2685</v>
      </c>
      <c r="E127" t="s">
        <v>2686</v>
      </c>
      <c r="F127" t="s">
        <v>2687</v>
      </c>
      <c r="G127" t="s">
        <v>28</v>
      </c>
      <c r="H127" t="s">
        <v>28</v>
      </c>
      <c r="I127" t="s">
        <v>806</v>
      </c>
    </row>
    <row r="128" spans="1:9" ht="11.25" customHeight="1">
      <c r="A128" t="s">
        <v>2246</v>
      </c>
      <c r="B128" t="s">
        <v>16</v>
      </c>
      <c r="C128" t="s">
        <v>2688</v>
      </c>
      <c r="D128" t="s">
        <v>2689</v>
      </c>
      <c r="E128" t="s">
        <v>2690</v>
      </c>
      <c r="F128" t="s">
        <v>2384</v>
      </c>
      <c r="G128" t="s">
        <v>28</v>
      </c>
      <c r="H128" t="s">
        <v>28</v>
      </c>
      <c r="I128" t="s">
        <v>806</v>
      </c>
    </row>
    <row r="129" spans="1:9" ht="11.25" customHeight="1">
      <c r="A129" t="s">
        <v>2246</v>
      </c>
      <c r="B129" t="s">
        <v>16</v>
      </c>
      <c r="C129" t="s">
        <v>2691</v>
      </c>
      <c r="D129" t="s">
        <v>2692</v>
      </c>
      <c r="E129" t="s">
        <v>2693</v>
      </c>
      <c r="F129" t="s">
        <v>2687</v>
      </c>
      <c r="G129" t="s">
        <v>28</v>
      </c>
      <c r="H129" t="s">
        <v>28</v>
      </c>
      <c r="I129" t="s">
        <v>806</v>
      </c>
    </row>
    <row r="130" spans="1:9" ht="11.25" customHeight="1">
      <c r="A130" t="s">
        <v>2246</v>
      </c>
      <c r="B130" t="s">
        <v>16</v>
      </c>
      <c r="C130" t="s">
        <v>2694</v>
      </c>
      <c r="D130" t="s">
        <v>2695</v>
      </c>
      <c r="E130" t="s">
        <v>2696</v>
      </c>
      <c r="F130" t="s">
        <v>2332</v>
      </c>
      <c r="G130" t="s">
        <v>28</v>
      </c>
      <c r="H130" t="s">
        <v>28</v>
      </c>
      <c r="I130" t="s">
        <v>806</v>
      </c>
    </row>
    <row r="131" spans="1:9" ht="11.25" customHeight="1">
      <c r="A131" t="s">
        <v>2246</v>
      </c>
      <c r="B131" t="s">
        <v>16</v>
      </c>
      <c r="C131" t="s">
        <v>2697</v>
      </c>
      <c r="D131" t="s">
        <v>2698</v>
      </c>
      <c r="E131" t="s">
        <v>2699</v>
      </c>
      <c r="F131" t="s">
        <v>2250</v>
      </c>
      <c r="G131" t="s">
        <v>2700</v>
      </c>
      <c r="H131" t="s">
        <v>28</v>
      </c>
      <c r="I131" t="s">
        <v>806</v>
      </c>
    </row>
    <row r="132" spans="1:9" ht="11.25" customHeight="1">
      <c r="A132" t="s">
        <v>2246</v>
      </c>
      <c r="B132" t="s">
        <v>16</v>
      </c>
      <c r="C132" t="s">
        <v>2701</v>
      </c>
      <c r="D132" t="s">
        <v>2702</v>
      </c>
      <c r="E132" t="s">
        <v>2703</v>
      </c>
      <c r="F132" t="s">
        <v>2286</v>
      </c>
      <c r="G132" t="s">
        <v>28</v>
      </c>
      <c r="H132" t="s">
        <v>28</v>
      </c>
      <c r="I132" t="s">
        <v>806</v>
      </c>
    </row>
    <row r="133" spans="1:9" ht="11.25" customHeight="1">
      <c r="A133" t="s">
        <v>2246</v>
      </c>
      <c r="B133" t="s">
        <v>16</v>
      </c>
      <c r="C133" t="s">
        <v>2704</v>
      </c>
      <c r="D133" t="s">
        <v>2705</v>
      </c>
      <c r="E133" t="s">
        <v>2706</v>
      </c>
      <c r="F133" t="s">
        <v>2707</v>
      </c>
      <c r="G133" t="s">
        <v>28</v>
      </c>
      <c r="H133" t="s">
        <v>28</v>
      </c>
      <c r="I133" t="s">
        <v>806</v>
      </c>
    </row>
    <row r="134" spans="1:9" ht="11.25" customHeight="1">
      <c r="A134" t="s">
        <v>2246</v>
      </c>
      <c r="B134" t="s">
        <v>16</v>
      </c>
      <c r="C134" t="s">
        <v>2708</v>
      </c>
      <c r="D134" t="s">
        <v>2709</v>
      </c>
      <c r="E134" t="s">
        <v>2710</v>
      </c>
      <c r="F134" t="s">
        <v>2286</v>
      </c>
      <c r="G134" t="s">
        <v>28</v>
      </c>
      <c r="H134" t="s">
        <v>28</v>
      </c>
      <c r="I134" t="s">
        <v>806</v>
      </c>
    </row>
    <row r="135" spans="1:9" ht="11.25" customHeight="1">
      <c r="A135" t="s">
        <v>2246</v>
      </c>
      <c r="B135" t="s">
        <v>16</v>
      </c>
      <c r="C135" t="s">
        <v>2711</v>
      </c>
      <c r="D135" t="s">
        <v>2712</v>
      </c>
      <c r="E135" t="s">
        <v>2713</v>
      </c>
      <c r="F135" t="s">
        <v>2352</v>
      </c>
      <c r="G135" t="s">
        <v>28</v>
      </c>
      <c r="H135" t="s">
        <v>28</v>
      </c>
      <c r="I135" t="s">
        <v>806</v>
      </c>
    </row>
    <row r="136" spans="1:9" ht="11.25" customHeight="1">
      <c r="A136" t="s">
        <v>2246</v>
      </c>
      <c r="B136" t="s">
        <v>16</v>
      </c>
      <c r="C136" t="s">
        <v>2714</v>
      </c>
      <c r="D136" t="s">
        <v>2715</v>
      </c>
      <c r="E136" t="s">
        <v>2716</v>
      </c>
      <c r="F136" t="s">
        <v>2717</v>
      </c>
      <c r="G136" t="s">
        <v>28</v>
      </c>
      <c r="H136" t="s">
        <v>28</v>
      </c>
      <c r="I136" t="s">
        <v>806</v>
      </c>
    </row>
    <row r="137" spans="1:9" ht="11.25" customHeight="1">
      <c r="A137" t="s">
        <v>2246</v>
      </c>
      <c r="B137" t="s">
        <v>16</v>
      </c>
      <c r="C137" t="s">
        <v>2718</v>
      </c>
      <c r="D137" t="s">
        <v>2719</v>
      </c>
      <c r="E137" t="s">
        <v>2720</v>
      </c>
      <c r="F137" t="s">
        <v>2343</v>
      </c>
      <c r="G137" t="s">
        <v>28</v>
      </c>
      <c r="H137" t="s">
        <v>28</v>
      </c>
      <c r="I137" t="s">
        <v>806</v>
      </c>
    </row>
    <row r="138" spans="1:9" ht="11.25" customHeight="1">
      <c r="A138" t="s">
        <v>2246</v>
      </c>
      <c r="B138" t="s">
        <v>16</v>
      </c>
      <c r="C138" t="s">
        <v>2721</v>
      </c>
      <c r="D138" t="s">
        <v>2722</v>
      </c>
      <c r="E138" t="s">
        <v>2723</v>
      </c>
      <c r="F138" t="s">
        <v>2724</v>
      </c>
      <c r="G138" t="s">
        <v>2725</v>
      </c>
      <c r="H138" t="s">
        <v>28</v>
      </c>
      <c r="I138" t="s">
        <v>806</v>
      </c>
    </row>
    <row r="139" spans="1:9" ht="11.25" customHeight="1">
      <c r="A139" t="s">
        <v>2246</v>
      </c>
      <c r="B139" t="s">
        <v>16</v>
      </c>
      <c r="C139" t="s">
        <v>2726</v>
      </c>
      <c r="D139" t="s">
        <v>2727</v>
      </c>
      <c r="E139" t="s">
        <v>2728</v>
      </c>
      <c r="F139" t="s">
        <v>2303</v>
      </c>
      <c r="G139" t="s">
        <v>28</v>
      </c>
      <c r="H139" t="s">
        <v>28</v>
      </c>
      <c r="I139" t="s">
        <v>806</v>
      </c>
    </row>
    <row r="140" spans="1:9" ht="11.25" customHeight="1">
      <c r="A140" t="s">
        <v>2246</v>
      </c>
      <c r="B140" t="s">
        <v>16</v>
      </c>
      <c r="C140" t="s">
        <v>2729</v>
      </c>
      <c r="D140" t="s">
        <v>2730</v>
      </c>
      <c r="E140" t="s">
        <v>2731</v>
      </c>
      <c r="F140" t="s">
        <v>2707</v>
      </c>
      <c r="G140" t="s">
        <v>28</v>
      </c>
      <c r="H140" t="s">
        <v>28</v>
      </c>
      <c r="I140" t="s">
        <v>806</v>
      </c>
    </row>
    <row r="141" spans="1:9" ht="11.25" customHeight="1">
      <c r="A141" t="s">
        <v>2246</v>
      </c>
      <c r="B141" t="s">
        <v>16</v>
      </c>
      <c r="C141" t="s">
        <v>2732</v>
      </c>
      <c r="D141" t="s">
        <v>2733</v>
      </c>
      <c r="E141" t="s">
        <v>2734</v>
      </c>
      <c r="F141" t="s">
        <v>2384</v>
      </c>
      <c r="G141" t="s">
        <v>28</v>
      </c>
      <c r="H141" t="s">
        <v>28</v>
      </c>
      <c r="I141" t="s">
        <v>806</v>
      </c>
    </row>
    <row r="142" spans="1:9" ht="11.25" customHeight="1">
      <c r="A142" t="s">
        <v>2246</v>
      </c>
      <c r="B142" t="s">
        <v>16</v>
      </c>
      <c r="C142" t="s">
        <v>2735</v>
      </c>
      <c r="D142" t="s">
        <v>2736</v>
      </c>
      <c r="E142" t="s">
        <v>2737</v>
      </c>
      <c r="F142" t="s">
        <v>2303</v>
      </c>
      <c r="G142" t="s">
        <v>28</v>
      </c>
      <c r="H142" t="s">
        <v>28</v>
      </c>
      <c r="I142" t="s">
        <v>806</v>
      </c>
    </row>
    <row r="143" spans="1:9" ht="11.25" customHeight="1">
      <c r="A143" t="s">
        <v>2246</v>
      </c>
      <c r="B143" t="s">
        <v>16</v>
      </c>
      <c r="C143" t="s">
        <v>2738</v>
      </c>
      <c r="D143" t="s">
        <v>2739</v>
      </c>
      <c r="E143" t="s">
        <v>2740</v>
      </c>
      <c r="F143" t="s">
        <v>2325</v>
      </c>
      <c r="G143" t="s">
        <v>2741</v>
      </c>
      <c r="H143" t="s">
        <v>28</v>
      </c>
      <c r="I143" t="s">
        <v>806</v>
      </c>
    </row>
    <row r="144" spans="1:9" ht="11.25" customHeight="1">
      <c r="A144" t="s">
        <v>2246</v>
      </c>
      <c r="B144" t="s">
        <v>16</v>
      </c>
      <c r="C144" t="s">
        <v>2742</v>
      </c>
      <c r="D144" t="s">
        <v>2743</v>
      </c>
      <c r="E144" t="s">
        <v>2744</v>
      </c>
      <c r="F144" t="s">
        <v>2745</v>
      </c>
      <c r="G144" t="s">
        <v>2746</v>
      </c>
      <c r="H144" t="s">
        <v>28</v>
      </c>
      <c r="I144" t="s">
        <v>806</v>
      </c>
    </row>
    <row r="145" spans="1:9" ht="11.25" customHeight="1">
      <c r="A145" t="s">
        <v>2246</v>
      </c>
      <c r="B145" t="s">
        <v>16</v>
      </c>
      <c r="C145" t="s">
        <v>2747</v>
      </c>
      <c r="D145" t="s">
        <v>2748</v>
      </c>
      <c r="E145" t="s">
        <v>2749</v>
      </c>
      <c r="F145" t="s">
        <v>2750</v>
      </c>
      <c r="G145" t="s">
        <v>28</v>
      </c>
      <c r="H145" t="s">
        <v>28</v>
      </c>
      <c r="I145" t="s">
        <v>806</v>
      </c>
    </row>
    <row r="146" spans="1:9" ht="11.25" customHeight="1">
      <c r="A146" t="s">
        <v>2246</v>
      </c>
      <c r="B146" t="s">
        <v>16</v>
      </c>
      <c r="C146" t="s">
        <v>2751</v>
      </c>
      <c r="D146" t="s">
        <v>2752</v>
      </c>
      <c r="E146" t="s">
        <v>2753</v>
      </c>
      <c r="F146" t="s">
        <v>2303</v>
      </c>
      <c r="G146" t="s">
        <v>2754</v>
      </c>
      <c r="H146" t="s">
        <v>28</v>
      </c>
      <c r="I146" t="s">
        <v>806</v>
      </c>
    </row>
    <row r="147" spans="1:9" ht="11.25" customHeight="1">
      <c r="A147" t="s">
        <v>2246</v>
      </c>
      <c r="B147" t="s">
        <v>16</v>
      </c>
      <c r="C147" t="s">
        <v>2755</v>
      </c>
      <c r="D147" t="s">
        <v>2756</v>
      </c>
      <c r="E147" t="s">
        <v>2757</v>
      </c>
      <c r="F147" t="s">
        <v>2758</v>
      </c>
      <c r="G147" t="s">
        <v>28</v>
      </c>
      <c r="H147" t="s">
        <v>28</v>
      </c>
      <c r="I147" t="s">
        <v>806</v>
      </c>
    </row>
    <row r="148" spans="1:9" ht="11.25" customHeight="1">
      <c r="A148" t="s">
        <v>2246</v>
      </c>
      <c r="B148" t="s">
        <v>16</v>
      </c>
      <c r="C148" t="s">
        <v>2759</v>
      </c>
      <c r="D148" t="s">
        <v>2760</v>
      </c>
      <c r="E148" t="s">
        <v>2761</v>
      </c>
      <c r="F148" t="s">
        <v>50</v>
      </c>
      <c r="G148" t="s">
        <v>28</v>
      </c>
      <c r="H148" t="s">
        <v>28</v>
      </c>
      <c r="I148" t="s">
        <v>806</v>
      </c>
    </row>
    <row r="149" spans="1:9" ht="11.25" customHeight="1">
      <c r="A149" t="s">
        <v>2246</v>
      </c>
      <c r="B149" t="s">
        <v>16</v>
      </c>
      <c r="C149" t="s">
        <v>2762</v>
      </c>
      <c r="D149" t="s">
        <v>2763</v>
      </c>
      <c r="E149" t="s">
        <v>2764</v>
      </c>
      <c r="F149" t="s">
        <v>2384</v>
      </c>
      <c r="G149" t="s">
        <v>2765</v>
      </c>
      <c r="H149" t="s">
        <v>28</v>
      </c>
      <c r="I149" t="s">
        <v>806</v>
      </c>
    </row>
    <row r="150" spans="1:9" ht="11.25" customHeight="1">
      <c r="A150" t="s">
        <v>2246</v>
      </c>
      <c r="B150" t="s">
        <v>16</v>
      </c>
      <c r="C150" t="s">
        <v>2766</v>
      </c>
      <c r="D150" t="s">
        <v>2767</v>
      </c>
      <c r="E150" t="s">
        <v>2768</v>
      </c>
      <c r="F150" t="s">
        <v>574</v>
      </c>
      <c r="G150" t="s">
        <v>28</v>
      </c>
      <c r="H150" t="s">
        <v>28</v>
      </c>
      <c r="I150" t="s">
        <v>806</v>
      </c>
    </row>
    <row r="151" spans="1:9" ht="11.25" customHeight="1">
      <c r="A151" t="s">
        <v>2246</v>
      </c>
      <c r="B151" t="s">
        <v>16</v>
      </c>
      <c r="C151" t="s">
        <v>2769</v>
      </c>
      <c r="D151" t="s">
        <v>2770</v>
      </c>
      <c r="E151" t="s">
        <v>2771</v>
      </c>
      <c r="F151" t="s">
        <v>574</v>
      </c>
      <c r="G151" t="s">
        <v>28</v>
      </c>
      <c r="H151" t="s">
        <v>28</v>
      </c>
      <c r="I151" t="s">
        <v>806</v>
      </c>
    </row>
    <row r="152" spans="1:9" ht="11.25" customHeight="1">
      <c r="A152" t="s">
        <v>2246</v>
      </c>
      <c r="B152" t="s">
        <v>16</v>
      </c>
      <c r="C152" t="s">
        <v>2772</v>
      </c>
      <c r="D152" t="s">
        <v>2773</v>
      </c>
      <c r="E152" t="s">
        <v>2774</v>
      </c>
      <c r="F152" t="s">
        <v>574</v>
      </c>
      <c r="G152" t="s">
        <v>28</v>
      </c>
      <c r="H152" t="s">
        <v>28</v>
      </c>
      <c r="I152" t="s">
        <v>806</v>
      </c>
    </row>
    <row r="153" spans="1:9" ht="11.25" customHeight="1">
      <c r="A153" t="s">
        <v>2246</v>
      </c>
      <c r="B153" t="s">
        <v>16</v>
      </c>
      <c r="C153" t="s">
        <v>2775</v>
      </c>
      <c r="D153" t="s">
        <v>2776</v>
      </c>
      <c r="E153" t="s">
        <v>2777</v>
      </c>
      <c r="F153" t="s">
        <v>574</v>
      </c>
      <c r="G153" t="s">
        <v>28</v>
      </c>
      <c r="H153" t="s">
        <v>28</v>
      </c>
      <c r="I153" t="s">
        <v>806</v>
      </c>
    </row>
    <row r="154" spans="1:9" ht="11.25" customHeight="1">
      <c r="A154" t="s">
        <v>2246</v>
      </c>
      <c r="B154" t="s">
        <v>16</v>
      </c>
      <c r="C154" t="s">
        <v>2778</v>
      </c>
      <c r="D154" t="s">
        <v>2779</v>
      </c>
      <c r="E154" t="s">
        <v>2780</v>
      </c>
      <c r="F154" t="s">
        <v>574</v>
      </c>
      <c r="G154" t="s">
        <v>28</v>
      </c>
      <c r="H154" t="s">
        <v>28</v>
      </c>
      <c r="I154" t="s">
        <v>806</v>
      </c>
    </row>
    <row r="155" spans="1:9" ht="11.25" customHeight="1">
      <c r="A155" t="s">
        <v>2246</v>
      </c>
      <c r="B155" t="s">
        <v>16</v>
      </c>
      <c r="C155" t="s">
        <v>2781</v>
      </c>
      <c r="D155" t="s">
        <v>2782</v>
      </c>
      <c r="E155" t="s">
        <v>2783</v>
      </c>
      <c r="F155" t="s">
        <v>574</v>
      </c>
      <c r="G155" t="s">
        <v>28</v>
      </c>
      <c r="H155" t="s">
        <v>28</v>
      </c>
      <c r="I155" t="s">
        <v>806</v>
      </c>
    </row>
    <row r="156" spans="1:9" ht="11.25" customHeight="1">
      <c r="A156" t="s">
        <v>2246</v>
      </c>
      <c r="B156" t="s">
        <v>16</v>
      </c>
      <c r="C156" t="s">
        <v>2784</v>
      </c>
      <c r="D156" t="s">
        <v>2785</v>
      </c>
      <c r="E156" t="s">
        <v>2786</v>
      </c>
      <c r="F156" t="s">
        <v>574</v>
      </c>
      <c r="G156" t="s">
        <v>28</v>
      </c>
      <c r="H156" t="s">
        <v>28</v>
      </c>
      <c r="I156" t="s">
        <v>806</v>
      </c>
    </row>
    <row r="157" spans="1:9" ht="11.25" customHeight="1">
      <c r="A157" t="s">
        <v>2246</v>
      </c>
      <c r="B157" t="s">
        <v>16</v>
      </c>
      <c r="C157" t="s">
        <v>2787</v>
      </c>
      <c r="D157" t="s">
        <v>2788</v>
      </c>
      <c r="E157" t="s">
        <v>2789</v>
      </c>
      <c r="F157" t="s">
        <v>574</v>
      </c>
      <c r="G157" t="s">
        <v>28</v>
      </c>
      <c r="H157" t="s">
        <v>28</v>
      </c>
      <c r="I157" t="s">
        <v>806</v>
      </c>
    </row>
    <row r="158" spans="1:9" ht="11.25" customHeight="1">
      <c r="A158" t="s">
        <v>2246</v>
      </c>
      <c r="B158" t="s">
        <v>16</v>
      </c>
      <c r="C158" t="s">
        <v>2790</v>
      </c>
      <c r="D158" t="s">
        <v>2791</v>
      </c>
      <c r="E158" t="s">
        <v>2792</v>
      </c>
      <c r="F158" t="s">
        <v>574</v>
      </c>
      <c r="G158" t="s">
        <v>28</v>
      </c>
      <c r="H158" t="s">
        <v>28</v>
      </c>
      <c r="I158" t="s">
        <v>806</v>
      </c>
    </row>
    <row r="159" spans="1:9" ht="11.25" customHeight="1">
      <c r="A159" t="s">
        <v>2246</v>
      </c>
      <c r="B159" t="s">
        <v>16</v>
      </c>
      <c r="C159" t="s">
        <v>2793</v>
      </c>
      <c r="D159" t="s">
        <v>2794</v>
      </c>
      <c r="E159" t="s">
        <v>2795</v>
      </c>
      <c r="F159" t="s">
        <v>574</v>
      </c>
      <c r="G159" t="s">
        <v>28</v>
      </c>
      <c r="H159" t="s">
        <v>28</v>
      </c>
      <c r="I159" t="s">
        <v>806</v>
      </c>
    </row>
    <row r="160" spans="1:9" ht="11.25" customHeight="1">
      <c r="A160" t="s">
        <v>2246</v>
      </c>
      <c r="B160" t="s">
        <v>16</v>
      </c>
      <c r="C160" t="s">
        <v>2796</v>
      </c>
      <c r="D160" t="s">
        <v>2797</v>
      </c>
      <c r="E160" t="s">
        <v>2798</v>
      </c>
      <c r="F160" t="s">
        <v>574</v>
      </c>
      <c r="G160" t="s">
        <v>2799</v>
      </c>
      <c r="H160" t="s">
        <v>28</v>
      </c>
      <c r="I160" t="s">
        <v>806</v>
      </c>
    </row>
    <row r="161" spans="1:9" ht="11.25" customHeight="1">
      <c r="A161" t="s">
        <v>2246</v>
      </c>
      <c r="B161" t="s">
        <v>16</v>
      </c>
      <c r="C161" t="s">
        <v>2800</v>
      </c>
      <c r="D161" t="s">
        <v>2801</v>
      </c>
      <c r="E161" t="s">
        <v>2802</v>
      </c>
      <c r="F161" t="s">
        <v>574</v>
      </c>
      <c r="G161" t="s">
        <v>2803</v>
      </c>
      <c r="H161" t="s">
        <v>28</v>
      </c>
      <c r="I161" t="s">
        <v>806</v>
      </c>
    </row>
    <row r="162" spans="1:9" ht="11.25" customHeight="1">
      <c r="A162" t="s">
        <v>2246</v>
      </c>
      <c r="B162" t="s">
        <v>16</v>
      </c>
      <c r="C162" t="s">
        <v>2804</v>
      </c>
      <c r="D162" t="s">
        <v>2805</v>
      </c>
      <c r="E162" t="s">
        <v>2806</v>
      </c>
      <c r="F162" t="s">
        <v>574</v>
      </c>
      <c r="G162" t="s">
        <v>28</v>
      </c>
      <c r="H162" t="s">
        <v>28</v>
      </c>
      <c r="I162" t="s">
        <v>806</v>
      </c>
    </row>
    <row r="163" spans="1:9" ht="11.25" customHeight="1">
      <c r="A163" t="s">
        <v>2246</v>
      </c>
      <c r="B163" t="s">
        <v>16</v>
      </c>
      <c r="C163" t="s">
        <v>2807</v>
      </c>
      <c r="D163" t="s">
        <v>2808</v>
      </c>
      <c r="E163" t="s">
        <v>2809</v>
      </c>
      <c r="F163" t="s">
        <v>574</v>
      </c>
      <c r="G163" t="s">
        <v>28</v>
      </c>
      <c r="H163" t="s">
        <v>28</v>
      </c>
      <c r="I163" t="s">
        <v>806</v>
      </c>
    </row>
    <row r="164" spans="1:9" ht="11.25" customHeight="1">
      <c r="A164" t="s">
        <v>2246</v>
      </c>
      <c r="B164" t="s">
        <v>16</v>
      </c>
      <c r="C164" t="s">
        <v>2810</v>
      </c>
      <c r="D164" t="s">
        <v>2811</v>
      </c>
      <c r="E164" t="s">
        <v>2812</v>
      </c>
      <c r="F164" t="s">
        <v>574</v>
      </c>
      <c r="G164" t="s">
        <v>28</v>
      </c>
      <c r="H164" t="s">
        <v>28</v>
      </c>
      <c r="I164" t="s">
        <v>806</v>
      </c>
    </row>
    <row r="165" spans="1:9" ht="11.25" customHeight="1">
      <c r="A165" t="s">
        <v>2246</v>
      </c>
      <c r="B165" t="s">
        <v>16</v>
      </c>
      <c r="C165" t="s">
        <v>2813</v>
      </c>
      <c r="D165" t="s">
        <v>2814</v>
      </c>
      <c r="E165" t="s">
        <v>2815</v>
      </c>
      <c r="F165" t="s">
        <v>574</v>
      </c>
      <c r="G165" t="s">
        <v>28</v>
      </c>
      <c r="H165" t="s">
        <v>28</v>
      </c>
      <c r="I165" t="s">
        <v>806</v>
      </c>
    </row>
    <row r="166" spans="1:9" ht="11.25" customHeight="1">
      <c r="A166" t="s">
        <v>2246</v>
      </c>
      <c r="B166" t="s">
        <v>16</v>
      </c>
      <c r="C166" t="s">
        <v>2816</v>
      </c>
      <c r="D166" t="s">
        <v>2817</v>
      </c>
      <c r="E166" t="s">
        <v>2818</v>
      </c>
      <c r="F166" t="s">
        <v>2819</v>
      </c>
      <c r="G166" t="s">
        <v>28</v>
      </c>
      <c r="H166" t="s">
        <v>28</v>
      </c>
      <c r="I166" t="s">
        <v>806</v>
      </c>
    </row>
    <row r="167" spans="1:9" ht="11.25" customHeight="1">
      <c r="A167" t="s">
        <v>2246</v>
      </c>
      <c r="B167" t="s">
        <v>16</v>
      </c>
      <c r="C167" t="s">
        <v>2820</v>
      </c>
      <c r="D167" t="s">
        <v>2821</v>
      </c>
      <c r="E167" t="s">
        <v>2822</v>
      </c>
      <c r="F167" t="s">
        <v>2400</v>
      </c>
      <c r="G167" t="s">
        <v>28</v>
      </c>
      <c r="H167" t="s">
        <v>28</v>
      </c>
      <c r="I167" t="s">
        <v>806</v>
      </c>
    </row>
    <row r="168" spans="1:9" ht="11.25" customHeight="1">
      <c r="A168" t="s">
        <v>2246</v>
      </c>
      <c r="B168" t="s">
        <v>16</v>
      </c>
      <c r="C168" t="s">
        <v>2823</v>
      </c>
      <c r="D168" t="s">
        <v>2824</v>
      </c>
      <c r="E168" t="s">
        <v>2825</v>
      </c>
      <c r="F168" t="s">
        <v>2286</v>
      </c>
      <c r="G168" t="s">
        <v>28</v>
      </c>
      <c r="H168" t="s">
        <v>28</v>
      </c>
      <c r="I168" t="s">
        <v>806</v>
      </c>
    </row>
    <row r="169" spans="1:9" ht="11.25" customHeight="1">
      <c r="A169" t="s">
        <v>2246</v>
      </c>
      <c r="B169" t="s">
        <v>16</v>
      </c>
      <c r="C169" t="s">
        <v>2826</v>
      </c>
      <c r="D169" t="s">
        <v>2827</v>
      </c>
      <c r="E169" t="s">
        <v>2828</v>
      </c>
      <c r="F169" t="s">
        <v>2687</v>
      </c>
      <c r="G169" t="s">
        <v>28</v>
      </c>
      <c r="H169" t="s">
        <v>28</v>
      </c>
      <c r="I169" t="s">
        <v>806</v>
      </c>
    </row>
    <row r="170" spans="1:9" ht="11.25" customHeight="1">
      <c r="A170" t="s">
        <v>2246</v>
      </c>
      <c r="B170" t="s">
        <v>16</v>
      </c>
      <c r="C170" t="s">
        <v>2829</v>
      </c>
      <c r="D170" t="s">
        <v>2830</v>
      </c>
      <c r="E170" t="s">
        <v>2831</v>
      </c>
      <c r="F170" t="s">
        <v>2582</v>
      </c>
      <c r="G170" t="s">
        <v>28</v>
      </c>
      <c r="H170" t="s">
        <v>28</v>
      </c>
      <c r="I170" t="s">
        <v>806</v>
      </c>
    </row>
    <row r="171" spans="1:9" ht="11.25" customHeight="1">
      <c r="A171" t="s">
        <v>2246</v>
      </c>
      <c r="B171" t="s">
        <v>16</v>
      </c>
      <c r="C171" t="s">
        <v>2832</v>
      </c>
      <c r="D171" t="s">
        <v>2833</v>
      </c>
      <c r="E171" t="s">
        <v>2834</v>
      </c>
      <c r="F171" t="s">
        <v>2268</v>
      </c>
      <c r="G171" t="s">
        <v>28</v>
      </c>
      <c r="H171" t="s">
        <v>28</v>
      </c>
      <c r="I171" t="s">
        <v>806</v>
      </c>
    </row>
    <row r="172" spans="1:9" ht="11.25" customHeight="1">
      <c r="A172" t="s">
        <v>2246</v>
      </c>
      <c r="B172" t="s">
        <v>16</v>
      </c>
      <c r="C172" t="s">
        <v>2835</v>
      </c>
      <c r="D172" t="s">
        <v>2836</v>
      </c>
      <c r="E172" t="s">
        <v>2837</v>
      </c>
      <c r="F172" t="s">
        <v>2347</v>
      </c>
      <c r="G172" t="s">
        <v>28</v>
      </c>
      <c r="H172" t="s">
        <v>28</v>
      </c>
      <c r="I172" t="s">
        <v>806</v>
      </c>
    </row>
    <row r="173" spans="1:9" ht="11.25" customHeight="1">
      <c r="A173" t="s">
        <v>2246</v>
      </c>
      <c r="B173" t="s">
        <v>16</v>
      </c>
      <c r="C173" t="s">
        <v>2838</v>
      </c>
      <c r="D173" t="s">
        <v>2839</v>
      </c>
      <c r="E173" t="s">
        <v>2840</v>
      </c>
      <c r="F173" t="s">
        <v>2295</v>
      </c>
      <c r="G173" t="s">
        <v>28</v>
      </c>
      <c r="H173" t="s">
        <v>28</v>
      </c>
      <c r="I173" t="s">
        <v>806</v>
      </c>
    </row>
    <row r="174" spans="1:9" ht="11.25" customHeight="1">
      <c r="A174" t="s">
        <v>2246</v>
      </c>
      <c r="B174" t="s">
        <v>16</v>
      </c>
      <c r="C174" t="s">
        <v>2841</v>
      </c>
      <c r="D174" t="s">
        <v>2842</v>
      </c>
      <c r="E174" t="s">
        <v>2843</v>
      </c>
      <c r="F174" t="s">
        <v>2360</v>
      </c>
      <c r="G174" t="s">
        <v>28</v>
      </c>
      <c r="H174" t="s">
        <v>28</v>
      </c>
      <c r="I174" t="s">
        <v>806</v>
      </c>
    </row>
    <row r="175" spans="1:9" ht="11.25" customHeight="1">
      <c r="A175" t="s">
        <v>2246</v>
      </c>
      <c r="B175" t="s">
        <v>16</v>
      </c>
      <c r="C175" t="s">
        <v>2844</v>
      </c>
      <c r="D175" t="s">
        <v>2845</v>
      </c>
      <c r="E175" t="s">
        <v>2846</v>
      </c>
      <c r="F175" t="s">
        <v>2582</v>
      </c>
      <c r="G175" t="s">
        <v>28</v>
      </c>
      <c r="H175" t="s">
        <v>28</v>
      </c>
      <c r="I175" t="s">
        <v>806</v>
      </c>
    </row>
    <row r="176" spans="1:9" ht="11.25" customHeight="1">
      <c r="A176" t="s">
        <v>2246</v>
      </c>
      <c r="B176" t="s">
        <v>16</v>
      </c>
      <c r="C176" t="s">
        <v>2847</v>
      </c>
      <c r="D176" t="s">
        <v>2848</v>
      </c>
      <c r="E176" t="s">
        <v>2849</v>
      </c>
      <c r="F176" t="s">
        <v>2295</v>
      </c>
      <c r="G176" t="s">
        <v>28</v>
      </c>
      <c r="H176" t="s">
        <v>28</v>
      </c>
      <c r="I176" t="s">
        <v>806</v>
      </c>
    </row>
    <row r="177" spans="1:9" ht="11.25" customHeight="1">
      <c r="A177" t="s">
        <v>2246</v>
      </c>
      <c r="B177" t="s">
        <v>16</v>
      </c>
      <c r="C177" t="s">
        <v>2850</v>
      </c>
      <c r="D177" t="s">
        <v>2851</v>
      </c>
      <c r="E177" t="s">
        <v>2852</v>
      </c>
      <c r="F177" t="s">
        <v>2295</v>
      </c>
      <c r="G177" t="s">
        <v>28</v>
      </c>
      <c r="H177" t="s">
        <v>28</v>
      </c>
      <c r="I177" t="s">
        <v>806</v>
      </c>
    </row>
    <row r="178" spans="1:9" ht="11.25" customHeight="1">
      <c r="A178" t="s">
        <v>2246</v>
      </c>
      <c r="B178" t="s">
        <v>16</v>
      </c>
      <c r="C178" t="s">
        <v>2853</v>
      </c>
      <c r="D178" t="s">
        <v>2854</v>
      </c>
      <c r="E178" t="s">
        <v>2855</v>
      </c>
      <c r="F178" t="s">
        <v>2582</v>
      </c>
      <c r="G178" t="s">
        <v>28</v>
      </c>
      <c r="H178" t="s">
        <v>28</v>
      </c>
      <c r="I178" t="s">
        <v>806</v>
      </c>
    </row>
    <row r="179" spans="1:9" ht="11.25" customHeight="1">
      <c r="A179" t="s">
        <v>2246</v>
      </c>
      <c r="B179" t="s">
        <v>16</v>
      </c>
      <c r="C179" t="s">
        <v>2856</v>
      </c>
      <c r="D179" t="s">
        <v>2857</v>
      </c>
      <c r="E179" t="s">
        <v>2858</v>
      </c>
      <c r="F179" t="s">
        <v>2264</v>
      </c>
      <c r="G179" t="s">
        <v>28</v>
      </c>
      <c r="H179" t="s">
        <v>28</v>
      </c>
      <c r="I179" t="s">
        <v>806</v>
      </c>
    </row>
    <row r="180" spans="1:9" ht="11.25" customHeight="1">
      <c r="A180" t="s">
        <v>2246</v>
      </c>
      <c r="B180" t="s">
        <v>16</v>
      </c>
      <c r="C180" t="s">
        <v>2859</v>
      </c>
      <c r="D180" t="s">
        <v>2860</v>
      </c>
      <c r="E180" t="s">
        <v>2861</v>
      </c>
      <c r="F180" t="s">
        <v>2347</v>
      </c>
      <c r="G180" t="s">
        <v>28</v>
      </c>
      <c r="H180" t="s">
        <v>28</v>
      </c>
      <c r="I180" t="s">
        <v>806</v>
      </c>
    </row>
    <row r="181" spans="1:9" ht="11.25" customHeight="1">
      <c r="A181" t="s">
        <v>2246</v>
      </c>
      <c r="B181" t="s">
        <v>16</v>
      </c>
      <c r="C181" t="s">
        <v>2862</v>
      </c>
      <c r="D181" t="s">
        <v>2863</v>
      </c>
      <c r="E181" t="s">
        <v>2864</v>
      </c>
      <c r="F181" t="s">
        <v>2264</v>
      </c>
      <c r="G181" t="s">
        <v>28</v>
      </c>
      <c r="H181" t="s">
        <v>28</v>
      </c>
      <c r="I181" t="s">
        <v>806</v>
      </c>
    </row>
    <row r="182" spans="1:9" ht="11.25" customHeight="1">
      <c r="A182" t="s">
        <v>2246</v>
      </c>
      <c r="B182" t="s">
        <v>16</v>
      </c>
      <c r="C182" t="s">
        <v>2865</v>
      </c>
      <c r="D182" t="s">
        <v>2866</v>
      </c>
      <c r="E182" t="s">
        <v>2867</v>
      </c>
      <c r="F182" t="s">
        <v>2687</v>
      </c>
      <c r="G182" t="s">
        <v>28</v>
      </c>
      <c r="H182" t="s">
        <v>28</v>
      </c>
      <c r="I182" t="s">
        <v>806</v>
      </c>
    </row>
    <row r="183" spans="1:9" ht="11.25" customHeight="1">
      <c r="A183" t="s">
        <v>2246</v>
      </c>
      <c r="B183" t="s">
        <v>16</v>
      </c>
      <c r="C183" t="s">
        <v>2868</v>
      </c>
      <c r="D183" t="s">
        <v>2869</v>
      </c>
      <c r="E183" t="s">
        <v>2870</v>
      </c>
      <c r="F183" t="s">
        <v>2574</v>
      </c>
      <c r="G183" t="s">
        <v>28</v>
      </c>
      <c r="H183" t="s">
        <v>28</v>
      </c>
      <c r="I183" t="s">
        <v>806</v>
      </c>
    </row>
    <row r="184" spans="1:9" ht="11.25" customHeight="1">
      <c r="A184" t="s">
        <v>2246</v>
      </c>
      <c r="B184" t="s">
        <v>16</v>
      </c>
      <c r="C184" t="s">
        <v>2871</v>
      </c>
      <c r="D184" t="s">
        <v>2872</v>
      </c>
      <c r="E184" t="s">
        <v>2873</v>
      </c>
      <c r="F184" t="s">
        <v>2687</v>
      </c>
      <c r="G184" t="s">
        <v>28</v>
      </c>
      <c r="H184" t="s">
        <v>28</v>
      </c>
      <c r="I184" t="s">
        <v>806</v>
      </c>
    </row>
    <row r="185" spans="1:9" ht="11.25" customHeight="1">
      <c r="A185" t="s">
        <v>2246</v>
      </c>
      <c r="B185" t="s">
        <v>16</v>
      </c>
      <c r="C185" t="s">
        <v>2874</v>
      </c>
      <c r="D185" t="s">
        <v>2875</v>
      </c>
      <c r="E185" t="s">
        <v>2876</v>
      </c>
      <c r="F185" t="s">
        <v>2347</v>
      </c>
      <c r="G185" t="s">
        <v>28</v>
      </c>
      <c r="H185" t="s">
        <v>28</v>
      </c>
      <c r="I185" t="s">
        <v>806</v>
      </c>
    </row>
    <row r="186" spans="1:9" ht="11.25" customHeight="1">
      <c r="A186" t="s">
        <v>2246</v>
      </c>
      <c r="B186" t="s">
        <v>16</v>
      </c>
      <c r="C186" t="s">
        <v>2877</v>
      </c>
      <c r="D186" t="s">
        <v>2878</v>
      </c>
      <c r="E186" t="s">
        <v>2879</v>
      </c>
      <c r="F186" t="s">
        <v>2400</v>
      </c>
      <c r="G186" t="s">
        <v>2880</v>
      </c>
      <c r="H186" t="s">
        <v>28</v>
      </c>
      <c r="I186" t="s">
        <v>806</v>
      </c>
    </row>
    <row r="187" spans="1:9" ht="11.25" customHeight="1">
      <c r="A187" t="s">
        <v>2246</v>
      </c>
      <c r="B187" t="s">
        <v>16</v>
      </c>
      <c r="C187" t="s">
        <v>2881</v>
      </c>
      <c r="D187" t="s">
        <v>2882</v>
      </c>
      <c r="E187" t="s">
        <v>2883</v>
      </c>
      <c r="F187" t="s">
        <v>2352</v>
      </c>
      <c r="G187" t="s">
        <v>28</v>
      </c>
      <c r="H187" t="s">
        <v>28</v>
      </c>
      <c r="I187" t="s">
        <v>806</v>
      </c>
    </row>
    <row r="188" spans="1:9" ht="11.25" customHeight="1">
      <c r="A188" t="s">
        <v>2246</v>
      </c>
      <c r="B188" t="s">
        <v>16</v>
      </c>
      <c r="C188" t="s">
        <v>2884</v>
      </c>
      <c r="D188" t="s">
        <v>2885</v>
      </c>
      <c r="E188" t="s">
        <v>2886</v>
      </c>
      <c r="F188" t="s">
        <v>2574</v>
      </c>
      <c r="G188" t="s">
        <v>28</v>
      </c>
      <c r="H188" t="s">
        <v>28</v>
      </c>
      <c r="I188" t="s">
        <v>806</v>
      </c>
    </row>
    <row r="189" spans="1:9" ht="11.25" customHeight="1">
      <c r="A189" t="s">
        <v>2246</v>
      </c>
      <c r="B189" t="s">
        <v>16</v>
      </c>
      <c r="C189" t="s">
        <v>2887</v>
      </c>
      <c r="D189" t="s">
        <v>2888</v>
      </c>
      <c r="E189" t="s">
        <v>2889</v>
      </c>
      <c r="F189" t="s">
        <v>2295</v>
      </c>
      <c r="G189" t="s">
        <v>28</v>
      </c>
      <c r="H189" t="s">
        <v>28</v>
      </c>
      <c r="I189" t="s">
        <v>806</v>
      </c>
    </row>
    <row r="190" spans="1:9" ht="11.25" customHeight="1">
      <c r="A190" t="s">
        <v>2246</v>
      </c>
      <c r="B190" t="s">
        <v>16</v>
      </c>
      <c r="C190" t="s">
        <v>2890</v>
      </c>
      <c r="D190" t="s">
        <v>2891</v>
      </c>
      <c r="E190" t="s">
        <v>2892</v>
      </c>
      <c r="F190" t="s">
        <v>2574</v>
      </c>
      <c r="G190" t="s">
        <v>28</v>
      </c>
      <c r="H190" t="s">
        <v>28</v>
      </c>
      <c r="I190" t="s">
        <v>806</v>
      </c>
    </row>
    <row r="191" spans="1:9" ht="11.25" customHeight="1">
      <c r="A191" t="s">
        <v>2246</v>
      </c>
      <c r="B191" t="s">
        <v>16</v>
      </c>
      <c r="C191" t="s">
        <v>2893</v>
      </c>
      <c r="D191" t="s">
        <v>2894</v>
      </c>
      <c r="E191" t="s">
        <v>2895</v>
      </c>
      <c r="F191" t="s">
        <v>2286</v>
      </c>
      <c r="G191" t="s">
        <v>28</v>
      </c>
      <c r="H191" t="s">
        <v>28</v>
      </c>
      <c r="I191" t="s">
        <v>806</v>
      </c>
    </row>
    <row r="192" spans="1:9" ht="11.25" customHeight="1">
      <c r="A192" t="s">
        <v>2246</v>
      </c>
      <c r="B192" t="s">
        <v>16</v>
      </c>
      <c r="C192" t="s">
        <v>2896</v>
      </c>
      <c r="D192" t="s">
        <v>2897</v>
      </c>
      <c r="E192" t="s">
        <v>2898</v>
      </c>
      <c r="F192" t="s">
        <v>2268</v>
      </c>
      <c r="G192" t="s">
        <v>28</v>
      </c>
      <c r="H192" t="s">
        <v>28</v>
      </c>
      <c r="I192" t="s">
        <v>806</v>
      </c>
    </row>
    <row r="193" spans="1:9" ht="11.25" customHeight="1">
      <c r="A193" t="s">
        <v>2246</v>
      </c>
      <c r="B193" t="s">
        <v>16</v>
      </c>
      <c r="C193" t="s">
        <v>2899</v>
      </c>
      <c r="D193" t="s">
        <v>2900</v>
      </c>
      <c r="E193" t="s">
        <v>2901</v>
      </c>
      <c r="F193" t="s">
        <v>2902</v>
      </c>
      <c r="G193" t="s">
        <v>28</v>
      </c>
      <c r="H193" t="s">
        <v>28</v>
      </c>
      <c r="I193" t="s">
        <v>806</v>
      </c>
    </row>
    <row r="194" spans="1:9" ht="11.25" customHeight="1">
      <c r="A194" t="s">
        <v>2246</v>
      </c>
      <c r="B194" t="s">
        <v>16</v>
      </c>
      <c r="C194" t="s">
        <v>2903</v>
      </c>
      <c r="D194" t="s">
        <v>2904</v>
      </c>
      <c r="E194" t="s">
        <v>2905</v>
      </c>
      <c r="F194" t="s">
        <v>2906</v>
      </c>
      <c r="G194" t="s">
        <v>28</v>
      </c>
      <c r="H194" t="s">
        <v>28</v>
      </c>
      <c r="I194" t="s">
        <v>806</v>
      </c>
    </row>
    <row r="195" spans="1:9" ht="11.25" customHeight="1">
      <c r="A195" t="s">
        <v>2246</v>
      </c>
      <c r="B195" t="s">
        <v>16</v>
      </c>
      <c r="C195" t="s">
        <v>2907</v>
      </c>
      <c r="D195" t="s">
        <v>2908</v>
      </c>
      <c r="E195" t="s">
        <v>2909</v>
      </c>
      <c r="F195" t="s">
        <v>2910</v>
      </c>
      <c r="G195" t="s">
        <v>28</v>
      </c>
      <c r="H195" t="s">
        <v>28</v>
      </c>
      <c r="I195" t="s">
        <v>806</v>
      </c>
    </row>
    <row r="196" spans="1:9" ht="11.25" customHeight="1">
      <c r="A196" t="s">
        <v>2246</v>
      </c>
      <c r="B196" t="s">
        <v>16</v>
      </c>
      <c r="C196" t="s">
        <v>2911</v>
      </c>
      <c r="D196" t="s">
        <v>2912</v>
      </c>
      <c r="E196" t="s">
        <v>2913</v>
      </c>
      <c r="F196" t="s">
        <v>2687</v>
      </c>
      <c r="G196" t="s">
        <v>2914</v>
      </c>
      <c r="H196" t="s">
        <v>28</v>
      </c>
      <c r="I196" t="s">
        <v>806</v>
      </c>
    </row>
    <row r="197" spans="1:9" ht="11.25" customHeight="1">
      <c r="A197" t="s">
        <v>2246</v>
      </c>
      <c r="B197" t="s">
        <v>16</v>
      </c>
      <c r="C197" t="s">
        <v>2915</v>
      </c>
      <c r="D197" t="s">
        <v>2916</v>
      </c>
      <c r="E197" t="s">
        <v>2917</v>
      </c>
      <c r="F197" t="s">
        <v>2687</v>
      </c>
      <c r="G197" t="s">
        <v>2918</v>
      </c>
      <c r="H197" t="s">
        <v>28</v>
      </c>
      <c r="I197" t="s">
        <v>806</v>
      </c>
    </row>
    <row r="198" spans="1:9" ht="11.25" customHeight="1">
      <c r="A198" t="s">
        <v>2246</v>
      </c>
      <c r="B198" t="s">
        <v>16</v>
      </c>
      <c r="C198" t="s">
        <v>2919</v>
      </c>
      <c r="D198" t="s">
        <v>2920</v>
      </c>
      <c r="E198" t="s">
        <v>2921</v>
      </c>
      <c r="F198" t="s">
        <v>2687</v>
      </c>
      <c r="G198" t="s">
        <v>2922</v>
      </c>
      <c r="H198" t="s">
        <v>28</v>
      </c>
      <c r="I198" t="s">
        <v>806</v>
      </c>
    </row>
    <row r="199" spans="1:9" ht="11.25" customHeight="1">
      <c r="A199" t="s">
        <v>2246</v>
      </c>
      <c r="B199" t="s">
        <v>16</v>
      </c>
      <c r="C199" t="s">
        <v>2923</v>
      </c>
      <c r="D199" t="s">
        <v>2924</v>
      </c>
      <c r="E199" t="s">
        <v>2925</v>
      </c>
      <c r="F199" t="s">
        <v>2687</v>
      </c>
      <c r="G199" t="s">
        <v>2926</v>
      </c>
      <c r="H199" t="s">
        <v>28</v>
      </c>
      <c r="I199" t="s">
        <v>806</v>
      </c>
    </row>
    <row r="200" spans="1:9" ht="11.25" customHeight="1">
      <c r="A200" t="s">
        <v>2246</v>
      </c>
      <c r="B200" t="s">
        <v>16</v>
      </c>
      <c r="C200" t="s">
        <v>2927</v>
      </c>
      <c r="D200" t="s">
        <v>2928</v>
      </c>
      <c r="E200" t="s">
        <v>2929</v>
      </c>
      <c r="F200" t="s">
        <v>2687</v>
      </c>
      <c r="G200" t="s">
        <v>28</v>
      </c>
      <c r="H200" t="s">
        <v>28</v>
      </c>
      <c r="I200" t="s">
        <v>806</v>
      </c>
    </row>
    <row r="201" spans="1:9" ht="11.25" customHeight="1">
      <c r="A201" t="s">
        <v>2246</v>
      </c>
      <c r="B201" t="s">
        <v>16</v>
      </c>
      <c r="C201" t="s">
        <v>2930</v>
      </c>
      <c r="D201" t="s">
        <v>2931</v>
      </c>
      <c r="E201" t="s">
        <v>2932</v>
      </c>
      <c r="F201" t="s">
        <v>2910</v>
      </c>
      <c r="G201" t="s">
        <v>28</v>
      </c>
      <c r="H201" t="s">
        <v>28</v>
      </c>
      <c r="I201" t="s">
        <v>806</v>
      </c>
    </row>
    <row r="202" spans="1:9" ht="11.25" customHeight="1">
      <c r="A202" t="s">
        <v>2246</v>
      </c>
      <c r="B202" t="s">
        <v>16</v>
      </c>
      <c r="C202" t="s">
        <v>2933</v>
      </c>
      <c r="D202" t="s">
        <v>2934</v>
      </c>
      <c r="E202" t="s">
        <v>2935</v>
      </c>
      <c r="F202" t="s">
        <v>2910</v>
      </c>
      <c r="G202" t="s">
        <v>28</v>
      </c>
      <c r="H202" t="s">
        <v>28</v>
      </c>
      <c r="I202" t="s">
        <v>806</v>
      </c>
    </row>
    <row r="203" spans="1:9" ht="11.25" customHeight="1">
      <c r="A203" t="s">
        <v>2246</v>
      </c>
      <c r="B203" t="s">
        <v>16</v>
      </c>
      <c r="C203" t="s">
        <v>2936</v>
      </c>
      <c r="D203" t="s">
        <v>2937</v>
      </c>
      <c r="E203" t="s">
        <v>2938</v>
      </c>
      <c r="F203" t="s">
        <v>2910</v>
      </c>
      <c r="G203" t="s">
        <v>28</v>
      </c>
      <c r="H203" t="s">
        <v>28</v>
      </c>
      <c r="I203" t="s">
        <v>806</v>
      </c>
    </row>
    <row r="204" spans="1:9" ht="11.25" customHeight="1">
      <c r="A204" t="s">
        <v>2246</v>
      </c>
      <c r="B204" t="s">
        <v>16</v>
      </c>
      <c r="C204" t="s">
        <v>2939</v>
      </c>
      <c r="D204" t="s">
        <v>2940</v>
      </c>
      <c r="E204" t="s">
        <v>2941</v>
      </c>
      <c r="F204" t="s">
        <v>2347</v>
      </c>
      <c r="G204" t="s">
        <v>2942</v>
      </c>
      <c r="H204" t="s">
        <v>28</v>
      </c>
      <c r="I204" t="s">
        <v>806</v>
      </c>
    </row>
    <row r="205" spans="1:9" ht="11.25" customHeight="1">
      <c r="A205" t="s">
        <v>2246</v>
      </c>
      <c r="B205" t="s">
        <v>16</v>
      </c>
      <c r="C205" t="s">
        <v>2943</v>
      </c>
      <c r="D205" t="s">
        <v>2944</v>
      </c>
      <c r="E205" t="s">
        <v>2945</v>
      </c>
      <c r="F205" t="s">
        <v>2687</v>
      </c>
      <c r="G205" t="s">
        <v>28</v>
      </c>
      <c r="H205" t="s">
        <v>28</v>
      </c>
      <c r="I205" t="s">
        <v>806</v>
      </c>
    </row>
    <row r="206" spans="1:9" ht="11.25" customHeight="1">
      <c r="A206" t="s">
        <v>2246</v>
      </c>
      <c r="B206" t="s">
        <v>16</v>
      </c>
      <c r="C206" t="s">
        <v>2946</v>
      </c>
      <c r="D206" t="s">
        <v>2947</v>
      </c>
      <c r="E206" t="s">
        <v>2948</v>
      </c>
      <c r="F206" t="s">
        <v>2347</v>
      </c>
      <c r="G206" t="s">
        <v>28</v>
      </c>
      <c r="H206" t="s">
        <v>28</v>
      </c>
      <c r="I206" t="s">
        <v>806</v>
      </c>
    </row>
    <row r="207" spans="1:9" ht="11.25" customHeight="1">
      <c r="A207" t="s">
        <v>2246</v>
      </c>
      <c r="B207" t="s">
        <v>16</v>
      </c>
      <c r="C207" t="s">
        <v>2949</v>
      </c>
      <c r="D207" t="s">
        <v>2950</v>
      </c>
      <c r="E207" t="s">
        <v>2951</v>
      </c>
      <c r="F207" t="s">
        <v>2250</v>
      </c>
      <c r="G207" t="s">
        <v>2952</v>
      </c>
      <c r="H207" t="s">
        <v>28</v>
      </c>
      <c r="I207" t="s">
        <v>806</v>
      </c>
    </row>
    <row r="208" spans="1:9" ht="11.25" customHeight="1">
      <c r="A208" t="s">
        <v>2246</v>
      </c>
      <c r="B208" t="s">
        <v>16</v>
      </c>
      <c r="C208" t="s">
        <v>2953</v>
      </c>
      <c r="D208" t="s">
        <v>2954</v>
      </c>
      <c r="E208" t="s">
        <v>2955</v>
      </c>
      <c r="F208" t="s">
        <v>2264</v>
      </c>
      <c r="G208" t="s">
        <v>2956</v>
      </c>
      <c r="H208" t="s">
        <v>28</v>
      </c>
      <c r="I208" t="s">
        <v>806</v>
      </c>
    </row>
    <row r="209" spans="1:9" ht="11.25" customHeight="1">
      <c r="A209" t="s">
        <v>2246</v>
      </c>
      <c r="B209" t="s">
        <v>16</v>
      </c>
      <c r="C209" t="s">
        <v>2957</v>
      </c>
      <c r="D209" t="s">
        <v>2958</v>
      </c>
      <c r="E209" t="s">
        <v>2959</v>
      </c>
      <c r="F209" t="s">
        <v>2582</v>
      </c>
      <c r="G209" t="s">
        <v>28</v>
      </c>
      <c r="H209" t="s">
        <v>28</v>
      </c>
      <c r="I209" t="s">
        <v>806</v>
      </c>
    </row>
    <row r="210" spans="1:9" ht="11.25" customHeight="1">
      <c r="A210" t="s">
        <v>2246</v>
      </c>
      <c r="B210" t="s">
        <v>16</v>
      </c>
      <c r="C210" t="s">
        <v>2960</v>
      </c>
      <c r="D210" t="s">
        <v>2961</v>
      </c>
      <c r="E210" t="s">
        <v>2962</v>
      </c>
      <c r="F210" t="s">
        <v>2295</v>
      </c>
      <c r="G210" t="s">
        <v>2963</v>
      </c>
      <c r="H210" t="s">
        <v>28</v>
      </c>
      <c r="I210" t="s">
        <v>806</v>
      </c>
    </row>
    <row r="211" spans="1:9" ht="11.25" customHeight="1">
      <c r="A211" t="s">
        <v>2246</v>
      </c>
      <c r="B211" t="s">
        <v>16</v>
      </c>
      <c r="C211" t="s">
        <v>2964</v>
      </c>
      <c r="D211" t="s">
        <v>2965</v>
      </c>
      <c r="E211" t="s">
        <v>2966</v>
      </c>
      <c r="F211" t="s">
        <v>2347</v>
      </c>
      <c r="G211" t="s">
        <v>2967</v>
      </c>
      <c r="H211" t="s">
        <v>28</v>
      </c>
      <c r="I211" t="s">
        <v>806</v>
      </c>
    </row>
    <row r="212" spans="1:9" ht="11.25" customHeight="1">
      <c r="A212" t="s">
        <v>2246</v>
      </c>
      <c r="B212" t="s">
        <v>16</v>
      </c>
      <c r="C212" t="s">
        <v>2968</v>
      </c>
      <c r="D212" t="s">
        <v>2969</v>
      </c>
      <c r="E212" t="s">
        <v>2970</v>
      </c>
      <c r="F212" t="s">
        <v>2971</v>
      </c>
      <c r="G212" t="s">
        <v>28</v>
      </c>
      <c r="H212" t="s">
        <v>28</v>
      </c>
      <c r="I212" t="s">
        <v>806</v>
      </c>
    </row>
    <row r="213" spans="1:9" ht="11.25" customHeight="1">
      <c r="A213" t="s">
        <v>2246</v>
      </c>
      <c r="B213" t="s">
        <v>16</v>
      </c>
      <c r="C213" t="s">
        <v>2972</v>
      </c>
      <c r="D213" t="s">
        <v>2973</v>
      </c>
      <c r="E213" t="s">
        <v>2974</v>
      </c>
      <c r="F213" t="s">
        <v>50</v>
      </c>
      <c r="G213" t="s">
        <v>2975</v>
      </c>
      <c r="H213" t="s">
        <v>28</v>
      </c>
      <c r="I213" t="s">
        <v>806</v>
      </c>
    </row>
    <row r="214" spans="1:9" ht="11.25" customHeight="1">
      <c r="A214" t="s">
        <v>2246</v>
      </c>
      <c r="B214" t="s">
        <v>16</v>
      </c>
      <c r="C214" t="s">
        <v>2976</v>
      </c>
      <c r="D214" t="s">
        <v>2977</v>
      </c>
      <c r="E214" t="s">
        <v>2978</v>
      </c>
      <c r="F214" t="s">
        <v>2286</v>
      </c>
      <c r="G214" t="s">
        <v>28</v>
      </c>
      <c r="H214" t="s">
        <v>28</v>
      </c>
      <c r="I214" t="s">
        <v>806</v>
      </c>
    </row>
    <row r="215" spans="1:9" ht="11.25" customHeight="1">
      <c r="A215" t="s">
        <v>2246</v>
      </c>
      <c r="B215" t="s">
        <v>16</v>
      </c>
      <c r="C215" t="s">
        <v>2979</v>
      </c>
      <c r="D215" t="s">
        <v>2980</v>
      </c>
      <c r="E215" t="s">
        <v>2981</v>
      </c>
      <c r="F215" t="s">
        <v>2352</v>
      </c>
      <c r="G215" t="s">
        <v>28</v>
      </c>
      <c r="H215" t="s">
        <v>28</v>
      </c>
      <c r="I215" t="s">
        <v>806</v>
      </c>
    </row>
    <row r="216" spans="1:9" ht="11.25" customHeight="1">
      <c r="A216" t="s">
        <v>2246</v>
      </c>
      <c r="B216" t="s">
        <v>16</v>
      </c>
      <c r="C216" t="s">
        <v>2982</v>
      </c>
      <c r="D216" t="s">
        <v>2983</v>
      </c>
      <c r="E216" t="s">
        <v>2984</v>
      </c>
      <c r="F216" t="s">
        <v>2352</v>
      </c>
      <c r="G216" t="s">
        <v>2985</v>
      </c>
      <c r="H216" t="s">
        <v>28</v>
      </c>
      <c r="I216" t="s">
        <v>806</v>
      </c>
    </row>
    <row r="217" spans="1:9" ht="11.25" customHeight="1">
      <c r="A217" t="s">
        <v>2246</v>
      </c>
      <c r="B217" t="s">
        <v>16</v>
      </c>
      <c r="C217" t="s">
        <v>2986</v>
      </c>
      <c r="D217" t="s">
        <v>2987</v>
      </c>
      <c r="E217" t="s">
        <v>2988</v>
      </c>
      <c r="F217" t="s">
        <v>2989</v>
      </c>
      <c r="G217" t="s">
        <v>2990</v>
      </c>
      <c r="H217" t="s">
        <v>28</v>
      </c>
      <c r="I217" t="s">
        <v>806</v>
      </c>
    </row>
    <row r="218" spans="1:9" ht="11.25" customHeight="1">
      <c r="A218" t="s">
        <v>2246</v>
      </c>
      <c r="B218" t="s">
        <v>16</v>
      </c>
      <c r="C218" t="s">
        <v>2991</v>
      </c>
      <c r="D218" t="s">
        <v>2992</v>
      </c>
      <c r="E218" t="s">
        <v>2993</v>
      </c>
      <c r="F218" t="s">
        <v>2687</v>
      </c>
      <c r="G218" t="s">
        <v>28</v>
      </c>
      <c r="H218" t="s">
        <v>28</v>
      </c>
      <c r="I218" t="s">
        <v>806</v>
      </c>
    </row>
    <row r="219" spans="1:9" ht="11.25" customHeight="1">
      <c r="A219" t="s">
        <v>2246</v>
      </c>
      <c r="B219" t="s">
        <v>16</v>
      </c>
      <c r="C219" t="s">
        <v>2994</v>
      </c>
      <c r="D219" t="s">
        <v>2995</v>
      </c>
      <c r="E219" t="s">
        <v>2996</v>
      </c>
      <c r="F219" t="s">
        <v>2352</v>
      </c>
      <c r="G219" t="s">
        <v>28</v>
      </c>
      <c r="H219" t="s">
        <v>28</v>
      </c>
      <c r="I219" t="s">
        <v>806</v>
      </c>
    </row>
    <row r="220" spans="1:9" ht="11.25" customHeight="1">
      <c r="A220" t="s">
        <v>2246</v>
      </c>
      <c r="B220" t="s">
        <v>16</v>
      </c>
      <c r="C220" t="s">
        <v>2997</v>
      </c>
      <c r="D220" t="s">
        <v>2998</v>
      </c>
      <c r="E220" t="s">
        <v>2999</v>
      </c>
      <c r="F220" t="s">
        <v>2286</v>
      </c>
      <c r="G220" t="s">
        <v>3000</v>
      </c>
      <c r="H220" t="s">
        <v>28</v>
      </c>
      <c r="I220" t="s">
        <v>806</v>
      </c>
    </row>
    <row r="221" spans="1:9" ht="11.25" customHeight="1">
      <c r="A221" t="s">
        <v>2246</v>
      </c>
      <c r="B221" t="s">
        <v>16</v>
      </c>
      <c r="C221" t="s">
        <v>3001</v>
      </c>
      <c r="D221" t="s">
        <v>3002</v>
      </c>
      <c r="E221" t="s">
        <v>3003</v>
      </c>
      <c r="F221" t="s">
        <v>2582</v>
      </c>
      <c r="G221" t="s">
        <v>3004</v>
      </c>
      <c r="H221" t="s">
        <v>28</v>
      </c>
      <c r="I221" t="s">
        <v>806</v>
      </c>
    </row>
    <row r="222" spans="1:9" ht="11.25" customHeight="1">
      <c r="A222" t="s">
        <v>2246</v>
      </c>
      <c r="B222" t="s">
        <v>16</v>
      </c>
      <c r="C222" t="s">
        <v>3005</v>
      </c>
      <c r="D222" t="s">
        <v>3006</v>
      </c>
      <c r="E222" t="s">
        <v>3007</v>
      </c>
      <c r="F222" t="s">
        <v>2582</v>
      </c>
      <c r="G222" t="s">
        <v>3008</v>
      </c>
      <c r="H222" t="s">
        <v>28</v>
      </c>
      <c r="I222" t="s">
        <v>806</v>
      </c>
    </row>
    <row r="223" spans="1:9" ht="11.25" customHeight="1">
      <c r="A223" t="s">
        <v>2246</v>
      </c>
      <c r="B223" t="s">
        <v>16</v>
      </c>
      <c r="C223" t="s">
        <v>3009</v>
      </c>
      <c r="D223" t="s">
        <v>3010</v>
      </c>
      <c r="E223" t="s">
        <v>3011</v>
      </c>
      <c r="F223" t="s">
        <v>2687</v>
      </c>
      <c r="G223" t="s">
        <v>3012</v>
      </c>
      <c r="H223" t="s">
        <v>28</v>
      </c>
      <c r="I223" t="s">
        <v>806</v>
      </c>
    </row>
    <row r="224" spans="1:9" ht="11.25" customHeight="1">
      <c r="A224" t="s">
        <v>2246</v>
      </c>
      <c r="B224" t="s">
        <v>16</v>
      </c>
      <c r="C224" t="s">
        <v>3013</v>
      </c>
      <c r="D224" t="s">
        <v>3014</v>
      </c>
      <c r="E224" t="s">
        <v>3015</v>
      </c>
      <c r="F224" t="s">
        <v>2264</v>
      </c>
      <c r="G224" t="s">
        <v>3016</v>
      </c>
      <c r="H224" t="s">
        <v>28</v>
      </c>
      <c r="I224" t="s">
        <v>806</v>
      </c>
    </row>
    <row r="225" spans="1:9" ht="11.25" customHeight="1">
      <c r="A225" t="s">
        <v>2246</v>
      </c>
      <c r="B225" t="s">
        <v>16</v>
      </c>
      <c r="C225" t="s">
        <v>3017</v>
      </c>
      <c r="D225" t="s">
        <v>3018</v>
      </c>
      <c r="E225" t="s">
        <v>3019</v>
      </c>
      <c r="F225" t="s">
        <v>2286</v>
      </c>
      <c r="G225" t="s">
        <v>28</v>
      </c>
      <c r="H225" t="s">
        <v>28</v>
      </c>
      <c r="I225" t="s">
        <v>806</v>
      </c>
    </row>
    <row r="226" spans="1:9" ht="11.25" customHeight="1">
      <c r="A226" t="s">
        <v>2246</v>
      </c>
      <c r="B226" t="s">
        <v>16</v>
      </c>
      <c r="C226" t="s">
        <v>3020</v>
      </c>
      <c r="D226" t="s">
        <v>3021</v>
      </c>
      <c r="E226" t="s">
        <v>3022</v>
      </c>
      <c r="F226" t="s">
        <v>2347</v>
      </c>
      <c r="G226" t="s">
        <v>28</v>
      </c>
      <c r="H226" t="s">
        <v>28</v>
      </c>
      <c r="I226" t="s">
        <v>806</v>
      </c>
    </row>
    <row r="227" spans="1:9" ht="11.25" customHeight="1">
      <c r="A227" t="s">
        <v>2246</v>
      </c>
      <c r="B227" t="s">
        <v>16</v>
      </c>
      <c r="C227" t="s">
        <v>3023</v>
      </c>
      <c r="D227" t="s">
        <v>3024</v>
      </c>
      <c r="E227" t="s">
        <v>3025</v>
      </c>
      <c r="F227" t="s">
        <v>3026</v>
      </c>
      <c r="G227" t="s">
        <v>28</v>
      </c>
      <c r="H227" t="s">
        <v>28</v>
      </c>
      <c r="I227" t="s">
        <v>806</v>
      </c>
    </row>
    <row r="228" spans="1:9" ht="11.25" customHeight="1">
      <c r="A228" t="s">
        <v>2246</v>
      </c>
      <c r="B228" t="s">
        <v>16</v>
      </c>
      <c r="C228" t="s">
        <v>3027</v>
      </c>
      <c r="D228" t="s">
        <v>3028</v>
      </c>
      <c r="E228" t="s">
        <v>3029</v>
      </c>
      <c r="F228" t="s">
        <v>2295</v>
      </c>
      <c r="G228" t="s">
        <v>3030</v>
      </c>
      <c r="H228" t="s">
        <v>28</v>
      </c>
      <c r="I228" t="s">
        <v>806</v>
      </c>
    </row>
    <row r="229" spans="1:9" ht="11.25" customHeight="1">
      <c r="A229" t="s">
        <v>2246</v>
      </c>
      <c r="B229" t="s">
        <v>16</v>
      </c>
      <c r="C229" t="s">
        <v>3031</v>
      </c>
      <c r="D229" t="s">
        <v>3032</v>
      </c>
      <c r="E229" t="s">
        <v>3033</v>
      </c>
      <c r="F229" t="s">
        <v>2264</v>
      </c>
      <c r="G229" t="s">
        <v>3034</v>
      </c>
      <c r="H229" t="s">
        <v>28</v>
      </c>
      <c r="I229" t="s">
        <v>806</v>
      </c>
    </row>
    <row r="230" spans="1:9" ht="11.25" customHeight="1">
      <c r="A230" t="s">
        <v>2246</v>
      </c>
      <c r="B230" t="s">
        <v>16</v>
      </c>
      <c r="C230" t="s">
        <v>3035</v>
      </c>
      <c r="D230" t="s">
        <v>3036</v>
      </c>
      <c r="E230" t="s">
        <v>3037</v>
      </c>
      <c r="F230" t="s">
        <v>2582</v>
      </c>
      <c r="G230" t="s">
        <v>3038</v>
      </c>
      <c r="H230" t="s">
        <v>28</v>
      </c>
      <c r="I230" t="s">
        <v>806</v>
      </c>
    </row>
    <row r="231" spans="1:9" ht="11.25" customHeight="1">
      <c r="A231" t="s">
        <v>2246</v>
      </c>
      <c r="B231" t="s">
        <v>16</v>
      </c>
      <c r="C231" t="s">
        <v>3039</v>
      </c>
      <c r="D231" t="s">
        <v>3040</v>
      </c>
      <c r="E231" t="s">
        <v>3041</v>
      </c>
      <c r="F231" t="s">
        <v>2295</v>
      </c>
      <c r="G231" t="s">
        <v>3042</v>
      </c>
      <c r="H231" t="s">
        <v>28</v>
      </c>
      <c r="I231" t="s">
        <v>806</v>
      </c>
    </row>
    <row r="232" spans="1:9" ht="11.25" customHeight="1">
      <c r="A232" t="s">
        <v>2246</v>
      </c>
      <c r="B232" t="s">
        <v>16</v>
      </c>
      <c r="C232" t="s">
        <v>3043</v>
      </c>
      <c r="D232" t="s">
        <v>3044</v>
      </c>
      <c r="E232" t="s">
        <v>3045</v>
      </c>
      <c r="F232" t="s">
        <v>2286</v>
      </c>
      <c r="G232" t="s">
        <v>3046</v>
      </c>
      <c r="H232" t="s">
        <v>28</v>
      </c>
      <c r="I232" t="s">
        <v>806</v>
      </c>
    </row>
    <row r="233" spans="1:9" ht="11.25" customHeight="1">
      <c r="A233" t="s">
        <v>2246</v>
      </c>
      <c r="B233" t="s">
        <v>16</v>
      </c>
      <c r="C233" t="s">
        <v>3047</v>
      </c>
      <c r="D233" t="s">
        <v>3048</v>
      </c>
      <c r="E233" t="s">
        <v>3049</v>
      </c>
      <c r="F233" t="s">
        <v>2286</v>
      </c>
      <c r="G233" t="s">
        <v>3004</v>
      </c>
      <c r="H233" t="s">
        <v>28</v>
      </c>
      <c r="I233" t="s">
        <v>806</v>
      </c>
    </row>
    <row r="234" spans="1:9" ht="11.25" customHeight="1">
      <c r="A234" t="s">
        <v>2246</v>
      </c>
      <c r="B234" t="s">
        <v>16</v>
      </c>
      <c r="C234" t="s">
        <v>3050</v>
      </c>
      <c r="D234" t="s">
        <v>3051</v>
      </c>
      <c r="E234" t="s">
        <v>3052</v>
      </c>
      <c r="F234" t="s">
        <v>2295</v>
      </c>
      <c r="G234" t="s">
        <v>28</v>
      </c>
      <c r="H234" t="s">
        <v>28</v>
      </c>
      <c r="I234" t="s">
        <v>806</v>
      </c>
    </row>
    <row r="235" spans="1:9" ht="11.25" customHeight="1">
      <c r="A235" t="s">
        <v>2246</v>
      </c>
      <c r="B235" t="s">
        <v>16</v>
      </c>
      <c r="C235" t="s">
        <v>3053</v>
      </c>
      <c r="D235" t="s">
        <v>3054</v>
      </c>
      <c r="E235" t="s">
        <v>3055</v>
      </c>
      <c r="F235" t="s">
        <v>2352</v>
      </c>
      <c r="G235" t="s">
        <v>3056</v>
      </c>
      <c r="H235" t="s">
        <v>28</v>
      </c>
      <c r="I235" t="s">
        <v>806</v>
      </c>
    </row>
    <row r="236" spans="1:9" ht="11.25" customHeight="1">
      <c r="A236" t="s">
        <v>2246</v>
      </c>
      <c r="B236" t="s">
        <v>16</v>
      </c>
      <c r="C236" t="s">
        <v>3057</v>
      </c>
      <c r="D236" t="s">
        <v>3058</v>
      </c>
      <c r="E236" t="s">
        <v>3059</v>
      </c>
      <c r="F236" t="s">
        <v>2687</v>
      </c>
      <c r="G236" t="s">
        <v>3060</v>
      </c>
      <c r="H236" t="s">
        <v>28</v>
      </c>
      <c r="I236" t="s">
        <v>806</v>
      </c>
    </row>
    <row r="237" spans="1:9" ht="11.25" customHeight="1">
      <c r="A237" t="s">
        <v>2246</v>
      </c>
      <c r="B237" t="s">
        <v>16</v>
      </c>
      <c r="C237" t="s">
        <v>3061</v>
      </c>
      <c r="D237" t="s">
        <v>3062</v>
      </c>
      <c r="E237" t="s">
        <v>3063</v>
      </c>
      <c r="F237" t="s">
        <v>2268</v>
      </c>
      <c r="G237" t="s">
        <v>3064</v>
      </c>
      <c r="H237" t="s">
        <v>28</v>
      </c>
      <c r="I237" t="s">
        <v>806</v>
      </c>
    </row>
    <row r="238" spans="1:9" ht="11.25" customHeight="1">
      <c r="A238" t="s">
        <v>2246</v>
      </c>
      <c r="B238" t="s">
        <v>16</v>
      </c>
      <c r="C238" t="s">
        <v>3065</v>
      </c>
      <c r="D238" t="s">
        <v>3066</v>
      </c>
      <c r="E238" t="s">
        <v>3067</v>
      </c>
      <c r="F238" t="s">
        <v>2582</v>
      </c>
      <c r="G238" t="s">
        <v>28</v>
      </c>
      <c r="H238" t="s">
        <v>28</v>
      </c>
      <c r="I238" t="s">
        <v>806</v>
      </c>
    </row>
    <row r="239" spans="1:9" ht="11.25" customHeight="1">
      <c r="A239" t="s">
        <v>2246</v>
      </c>
      <c r="B239" t="s">
        <v>16</v>
      </c>
      <c r="C239" t="s">
        <v>3068</v>
      </c>
      <c r="D239" t="s">
        <v>3069</v>
      </c>
      <c r="E239" t="s">
        <v>3070</v>
      </c>
      <c r="F239" t="s">
        <v>2400</v>
      </c>
      <c r="G239" t="s">
        <v>3071</v>
      </c>
      <c r="H239" t="s">
        <v>28</v>
      </c>
      <c r="I239" t="s">
        <v>806</v>
      </c>
    </row>
    <row r="240" spans="1:9" ht="11.25" customHeight="1">
      <c r="A240" t="s">
        <v>2246</v>
      </c>
      <c r="B240" t="s">
        <v>16</v>
      </c>
      <c r="C240" t="s">
        <v>3072</v>
      </c>
      <c r="D240" t="s">
        <v>3073</v>
      </c>
      <c r="E240" t="s">
        <v>3074</v>
      </c>
      <c r="F240" t="s">
        <v>2264</v>
      </c>
      <c r="G240" t="s">
        <v>3075</v>
      </c>
      <c r="H240" t="s">
        <v>28</v>
      </c>
      <c r="I240" t="s">
        <v>806</v>
      </c>
    </row>
    <row r="241" spans="1:9" ht="11.25" customHeight="1">
      <c r="A241" t="s">
        <v>2246</v>
      </c>
      <c r="B241" t="s">
        <v>16</v>
      </c>
      <c r="C241" t="s">
        <v>3076</v>
      </c>
      <c r="D241" t="s">
        <v>3077</v>
      </c>
      <c r="E241" t="s">
        <v>3078</v>
      </c>
      <c r="F241" t="s">
        <v>2352</v>
      </c>
      <c r="G241" t="s">
        <v>3079</v>
      </c>
      <c r="H241" t="s">
        <v>28</v>
      </c>
      <c r="I241" t="s">
        <v>806</v>
      </c>
    </row>
    <row r="242" spans="1:9" ht="11.25" customHeight="1">
      <c r="A242" t="s">
        <v>2246</v>
      </c>
      <c r="B242" t="s">
        <v>16</v>
      </c>
      <c r="C242" t="s">
        <v>3080</v>
      </c>
      <c r="D242" t="s">
        <v>3081</v>
      </c>
      <c r="E242" t="s">
        <v>3082</v>
      </c>
      <c r="F242" t="s">
        <v>2352</v>
      </c>
      <c r="G242" t="s">
        <v>3083</v>
      </c>
      <c r="H242" t="s">
        <v>28</v>
      </c>
      <c r="I242" t="s">
        <v>806</v>
      </c>
    </row>
    <row r="243" spans="1:9" ht="11.25" customHeight="1">
      <c r="A243" t="s">
        <v>2246</v>
      </c>
      <c r="B243" t="s">
        <v>16</v>
      </c>
      <c r="C243" t="s">
        <v>3084</v>
      </c>
      <c r="D243" t="s">
        <v>3085</v>
      </c>
      <c r="E243" t="s">
        <v>3086</v>
      </c>
      <c r="F243" t="s">
        <v>2687</v>
      </c>
      <c r="G243" t="s">
        <v>28</v>
      </c>
      <c r="H243" t="s">
        <v>28</v>
      </c>
      <c r="I243" t="s">
        <v>806</v>
      </c>
    </row>
    <row r="244" spans="1:9" ht="11.25" customHeight="1">
      <c r="A244" t="s">
        <v>2246</v>
      </c>
      <c r="B244" t="s">
        <v>16</v>
      </c>
      <c r="C244" t="s">
        <v>3087</v>
      </c>
      <c r="D244" t="s">
        <v>3088</v>
      </c>
      <c r="E244" t="s">
        <v>3089</v>
      </c>
      <c r="F244" t="s">
        <v>2687</v>
      </c>
      <c r="G244" t="s">
        <v>28</v>
      </c>
      <c r="H244" t="s">
        <v>28</v>
      </c>
      <c r="I244" t="s">
        <v>806</v>
      </c>
    </row>
    <row r="245" spans="1:9" ht="11.25" customHeight="1">
      <c r="A245" t="s">
        <v>2246</v>
      </c>
      <c r="B245" t="s">
        <v>16</v>
      </c>
      <c r="C245" t="s">
        <v>3090</v>
      </c>
      <c r="D245" t="s">
        <v>3091</v>
      </c>
      <c r="E245" t="s">
        <v>3092</v>
      </c>
      <c r="F245" t="s">
        <v>2687</v>
      </c>
      <c r="G245" t="s">
        <v>28</v>
      </c>
      <c r="H245" t="s">
        <v>28</v>
      </c>
      <c r="I245" t="s">
        <v>806</v>
      </c>
    </row>
    <row r="246" spans="1:9" ht="11.25" customHeight="1">
      <c r="A246" t="s">
        <v>2246</v>
      </c>
      <c r="B246" t="s">
        <v>16</v>
      </c>
      <c r="C246" t="s">
        <v>3093</v>
      </c>
      <c r="D246" t="s">
        <v>3094</v>
      </c>
      <c r="E246" t="s">
        <v>3095</v>
      </c>
      <c r="F246" t="s">
        <v>2687</v>
      </c>
      <c r="G246" t="s">
        <v>3096</v>
      </c>
      <c r="H246" t="s">
        <v>28</v>
      </c>
      <c r="I246" t="s">
        <v>806</v>
      </c>
    </row>
    <row r="247" spans="1:9" ht="11.25" customHeight="1">
      <c r="A247" t="s">
        <v>2246</v>
      </c>
      <c r="B247" t="s">
        <v>16</v>
      </c>
      <c r="C247" t="s">
        <v>3097</v>
      </c>
      <c r="D247" t="s">
        <v>3098</v>
      </c>
      <c r="E247" t="s">
        <v>3099</v>
      </c>
      <c r="F247" t="s">
        <v>2687</v>
      </c>
      <c r="G247" t="s">
        <v>3100</v>
      </c>
      <c r="H247" t="s">
        <v>28</v>
      </c>
      <c r="I247" t="s">
        <v>806</v>
      </c>
    </row>
    <row r="248" spans="1:9" ht="11.25" customHeight="1">
      <c r="A248" t="s">
        <v>2246</v>
      </c>
      <c r="B248" t="s">
        <v>16</v>
      </c>
      <c r="C248" t="s">
        <v>3101</v>
      </c>
      <c r="D248" t="s">
        <v>3102</v>
      </c>
      <c r="E248" t="s">
        <v>3103</v>
      </c>
      <c r="F248" t="s">
        <v>2352</v>
      </c>
      <c r="G248" t="s">
        <v>28</v>
      </c>
      <c r="H248" t="s">
        <v>28</v>
      </c>
      <c r="I248" t="s">
        <v>806</v>
      </c>
    </row>
    <row r="249" spans="1:9" ht="11.25" customHeight="1">
      <c r="A249" t="s">
        <v>2246</v>
      </c>
      <c r="B249" t="s">
        <v>16</v>
      </c>
      <c r="C249" t="s">
        <v>3104</v>
      </c>
      <c r="D249" t="s">
        <v>3105</v>
      </c>
      <c r="E249" t="s">
        <v>3106</v>
      </c>
      <c r="F249" t="s">
        <v>2360</v>
      </c>
      <c r="G249" t="s">
        <v>3107</v>
      </c>
      <c r="H249" t="s">
        <v>28</v>
      </c>
      <c r="I249" t="s">
        <v>806</v>
      </c>
    </row>
    <row r="250" spans="1:9" ht="11.25" customHeight="1">
      <c r="A250" t="s">
        <v>2246</v>
      </c>
      <c r="B250" t="s">
        <v>16</v>
      </c>
      <c r="C250" t="s">
        <v>3108</v>
      </c>
      <c r="D250" t="s">
        <v>3109</v>
      </c>
      <c r="E250" t="s">
        <v>3110</v>
      </c>
      <c r="F250" t="s">
        <v>2286</v>
      </c>
      <c r="G250" t="s">
        <v>3111</v>
      </c>
      <c r="H250" t="s">
        <v>28</v>
      </c>
      <c r="I250" t="s">
        <v>806</v>
      </c>
    </row>
    <row r="251" spans="1:9" ht="11.25" customHeight="1">
      <c r="A251" t="s">
        <v>2246</v>
      </c>
      <c r="B251" t="s">
        <v>16</v>
      </c>
      <c r="C251" t="s">
        <v>3112</v>
      </c>
      <c r="D251" t="s">
        <v>3113</v>
      </c>
      <c r="E251" t="s">
        <v>3114</v>
      </c>
      <c r="F251" t="s">
        <v>2400</v>
      </c>
      <c r="G251" t="s">
        <v>28</v>
      </c>
      <c r="H251" t="s">
        <v>28</v>
      </c>
      <c r="I251" t="s">
        <v>806</v>
      </c>
    </row>
    <row r="252" spans="1:9" ht="11.25" customHeight="1">
      <c r="A252" t="s">
        <v>2246</v>
      </c>
      <c r="B252" t="s">
        <v>16</v>
      </c>
      <c r="C252" t="s">
        <v>3115</v>
      </c>
      <c r="D252" t="s">
        <v>3116</v>
      </c>
      <c r="E252" t="s">
        <v>3117</v>
      </c>
      <c r="F252" t="s">
        <v>2582</v>
      </c>
      <c r="G252" t="s">
        <v>28</v>
      </c>
      <c r="H252" t="s">
        <v>28</v>
      </c>
      <c r="I252" t="s">
        <v>806</v>
      </c>
    </row>
    <row r="253" spans="1:9" ht="11.25" customHeight="1">
      <c r="A253" t="s">
        <v>2246</v>
      </c>
      <c r="B253" t="s">
        <v>16</v>
      </c>
      <c r="C253" t="s">
        <v>3118</v>
      </c>
      <c r="D253" t="s">
        <v>3119</v>
      </c>
      <c r="E253" t="s">
        <v>3120</v>
      </c>
      <c r="F253" t="s">
        <v>2687</v>
      </c>
      <c r="G253" t="s">
        <v>3121</v>
      </c>
      <c r="H253" t="s">
        <v>28</v>
      </c>
      <c r="I253" t="s">
        <v>806</v>
      </c>
    </row>
    <row r="254" spans="1:9" ht="11.25" customHeight="1">
      <c r="A254" t="s">
        <v>2246</v>
      </c>
      <c r="B254" t="s">
        <v>16</v>
      </c>
      <c r="C254" t="s">
        <v>3122</v>
      </c>
      <c r="D254" t="s">
        <v>3123</v>
      </c>
      <c r="E254" t="s">
        <v>3124</v>
      </c>
      <c r="F254" t="s">
        <v>3125</v>
      </c>
      <c r="G254" t="s">
        <v>28</v>
      </c>
      <c r="H254" t="s">
        <v>28</v>
      </c>
      <c r="I254" t="s">
        <v>806</v>
      </c>
    </row>
    <row r="255" spans="1:9" ht="11.25" customHeight="1">
      <c r="A255" t="s">
        <v>2246</v>
      </c>
      <c r="B255" t="s">
        <v>16</v>
      </c>
      <c r="C255" t="s">
        <v>3126</v>
      </c>
      <c r="D255" t="s">
        <v>3127</v>
      </c>
      <c r="E255" t="s">
        <v>3128</v>
      </c>
      <c r="F255" t="s">
        <v>2582</v>
      </c>
      <c r="G255" t="s">
        <v>28</v>
      </c>
      <c r="H255" t="s">
        <v>28</v>
      </c>
      <c r="I255" t="s">
        <v>806</v>
      </c>
    </row>
    <row r="256" spans="1:9" ht="11.25" customHeight="1">
      <c r="A256" t="s">
        <v>2246</v>
      </c>
      <c r="B256" t="s">
        <v>16</v>
      </c>
      <c r="C256" t="s">
        <v>3129</v>
      </c>
      <c r="D256" t="s">
        <v>3130</v>
      </c>
      <c r="E256" t="s">
        <v>3131</v>
      </c>
      <c r="F256" t="s">
        <v>2582</v>
      </c>
      <c r="G256" t="s">
        <v>3132</v>
      </c>
      <c r="H256" t="s">
        <v>28</v>
      </c>
      <c r="I256" t="s">
        <v>806</v>
      </c>
    </row>
    <row r="257" spans="1:9" ht="11.25" customHeight="1">
      <c r="A257" t="s">
        <v>2246</v>
      </c>
      <c r="B257" t="s">
        <v>16</v>
      </c>
      <c r="C257" t="s">
        <v>3133</v>
      </c>
      <c r="D257" t="s">
        <v>3134</v>
      </c>
      <c r="E257" t="s">
        <v>3135</v>
      </c>
      <c r="F257" t="s">
        <v>2268</v>
      </c>
      <c r="G257" t="s">
        <v>3136</v>
      </c>
      <c r="H257" t="s">
        <v>28</v>
      </c>
      <c r="I257" t="s">
        <v>806</v>
      </c>
    </row>
    <row r="258" spans="1:9" ht="11.25" customHeight="1">
      <c r="A258" t="s">
        <v>2246</v>
      </c>
      <c r="B258" t="s">
        <v>16</v>
      </c>
      <c r="C258" t="s">
        <v>3137</v>
      </c>
      <c r="D258" t="s">
        <v>3138</v>
      </c>
      <c r="E258" t="s">
        <v>3139</v>
      </c>
      <c r="F258" t="s">
        <v>2250</v>
      </c>
      <c r="G258" t="s">
        <v>3140</v>
      </c>
      <c r="H258" t="s">
        <v>28</v>
      </c>
      <c r="I258" t="s">
        <v>806</v>
      </c>
    </row>
    <row r="259" spans="1:9" ht="11.25" customHeight="1">
      <c r="A259" t="s">
        <v>2246</v>
      </c>
      <c r="B259" t="s">
        <v>16</v>
      </c>
      <c r="C259" t="s">
        <v>3141</v>
      </c>
      <c r="D259" t="s">
        <v>3142</v>
      </c>
      <c r="E259" t="s">
        <v>3143</v>
      </c>
      <c r="F259" t="s">
        <v>2286</v>
      </c>
      <c r="G259" t="s">
        <v>28</v>
      </c>
      <c r="H259" t="s">
        <v>28</v>
      </c>
      <c r="I259" t="s">
        <v>806</v>
      </c>
    </row>
    <row r="260" spans="1:9" ht="11.25" customHeight="1">
      <c r="A260" t="s">
        <v>2246</v>
      </c>
      <c r="B260" t="s">
        <v>16</v>
      </c>
      <c r="C260" t="s">
        <v>3144</v>
      </c>
      <c r="D260" t="s">
        <v>3145</v>
      </c>
      <c r="E260" t="s">
        <v>3146</v>
      </c>
      <c r="F260" t="s">
        <v>2295</v>
      </c>
      <c r="G260" t="s">
        <v>3147</v>
      </c>
      <c r="H260" t="s">
        <v>28</v>
      </c>
      <c r="I260" t="s">
        <v>806</v>
      </c>
    </row>
    <row r="261" spans="1:9" ht="11.25" customHeight="1">
      <c r="A261" t="s">
        <v>2246</v>
      </c>
      <c r="B261" t="s">
        <v>16</v>
      </c>
      <c r="C261" t="s">
        <v>3148</v>
      </c>
      <c r="D261" t="s">
        <v>3149</v>
      </c>
      <c r="E261" t="s">
        <v>3150</v>
      </c>
      <c r="F261" t="s">
        <v>2250</v>
      </c>
      <c r="G261" t="s">
        <v>2269</v>
      </c>
      <c r="H261" t="s">
        <v>28</v>
      </c>
      <c r="I261" t="s">
        <v>806</v>
      </c>
    </row>
    <row r="262" spans="1:9" ht="11.25" customHeight="1">
      <c r="A262" t="s">
        <v>2246</v>
      </c>
      <c r="B262" t="s">
        <v>16</v>
      </c>
      <c r="C262" t="s">
        <v>3151</v>
      </c>
      <c r="D262" t="s">
        <v>3152</v>
      </c>
      <c r="E262" t="s">
        <v>3153</v>
      </c>
      <c r="F262" t="s">
        <v>2286</v>
      </c>
      <c r="G262" t="s">
        <v>28</v>
      </c>
      <c r="H262" t="s">
        <v>28</v>
      </c>
      <c r="I262" t="s">
        <v>806</v>
      </c>
    </row>
    <row r="263" spans="1:9" ht="11.25" customHeight="1">
      <c r="A263" t="s">
        <v>2246</v>
      </c>
      <c r="B263" t="s">
        <v>16</v>
      </c>
      <c r="C263" t="s">
        <v>3154</v>
      </c>
      <c r="D263" t="s">
        <v>3155</v>
      </c>
      <c r="E263" t="s">
        <v>3156</v>
      </c>
      <c r="F263" t="s">
        <v>2286</v>
      </c>
      <c r="G263" t="s">
        <v>3157</v>
      </c>
      <c r="H263" t="s">
        <v>28</v>
      </c>
      <c r="I263" t="s">
        <v>806</v>
      </c>
    </row>
    <row r="264" spans="1:9" ht="11.25" customHeight="1">
      <c r="A264" t="s">
        <v>2246</v>
      </c>
      <c r="B264" t="s">
        <v>16</v>
      </c>
      <c r="C264" t="s">
        <v>3158</v>
      </c>
      <c r="D264" t="s">
        <v>3159</v>
      </c>
      <c r="E264" t="s">
        <v>3160</v>
      </c>
      <c r="F264" t="s">
        <v>2286</v>
      </c>
      <c r="G264" t="s">
        <v>28</v>
      </c>
      <c r="H264" t="s">
        <v>28</v>
      </c>
      <c r="I264" t="s">
        <v>806</v>
      </c>
    </row>
    <row r="265" spans="1:9" ht="11.25" customHeight="1">
      <c r="A265" t="s">
        <v>2246</v>
      </c>
      <c r="B265" t="s">
        <v>16</v>
      </c>
      <c r="C265" t="s">
        <v>3161</v>
      </c>
      <c r="D265" t="s">
        <v>3162</v>
      </c>
      <c r="E265" t="s">
        <v>3163</v>
      </c>
      <c r="F265" t="s">
        <v>2582</v>
      </c>
      <c r="G265" t="s">
        <v>3164</v>
      </c>
      <c r="H265" t="s">
        <v>28</v>
      </c>
      <c r="I265" t="s">
        <v>806</v>
      </c>
    </row>
    <row r="266" spans="1:9" ht="11.25" customHeight="1">
      <c r="A266" t="s">
        <v>2246</v>
      </c>
      <c r="B266" t="s">
        <v>16</v>
      </c>
      <c r="C266" t="s">
        <v>3165</v>
      </c>
      <c r="D266" t="s">
        <v>3166</v>
      </c>
      <c r="E266" t="s">
        <v>3167</v>
      </c>
      <c r="F266" t="s">
        <v>2582</v>
      </c>
      <c r="G266" t="s">
        <v>3168</v>
      </c>
      <c r="H266" t="s">
        <v>28</v>
      </c>
      <c r="I266" t="s">
        <v>806</v>
      </c>
    </row>
    <row r="267" spans="1:9" ht="11.25" customHeight="1">
      <c r="A267" t="s">
        <v>2246</v>
      </c>
      <c r="B267" t="s">
        <v>16</v>
      </c>
      <c r="C267" t="s">
        <v>3169</v>
      </c>
      <c r="D267" t="s">
        <v>3170</v>
      </c>
      <c r="E267" t="s">
        <v>3171</v>
      </c>
      <c r="F267" t="s">
        <v>2250</v>
      </c>
      <c r="G267" t="s">
        <v>3172</v>
      </c>
      <c r="H267" t="s">
        <v>28</v>
      </c>
      <c r="I267" t="s">
        <v>806</v>
      </c>
    </row>
    <row r="268" spans="1:9" ht="11.25" customHeight="1">
      <c r="A268" t="s">
        <v>2246</v>
      </c>
      <c r="B268" t="s">
        <v>16</v>
      </c>
      <c r="C268" t="s">
        <v>3173</v>
      </c>
      <c r="D268" t="s">
        <v>3174</v>
      </c>
      <c r="E268" t="s">
        <v>3175</v>
      </c>
      <c r="F268" t="s">
        <v>2352</v>
      </c>
      <c r="G268" t="s">
        <v>3176</v>
      </c>
      <c r="H268" t="s">
        <v>28</v>
      </c>
      <c r="I268" t="s">
        <v>806</v>
      </c>
    </row>
    <row r="269" spans="1:9" ht="11.25" customHeight="1">
      <c r="A269" t="s">
        <v>2246</v>
      </c>
      <c r="B269" t="s">
        <v>16</v>
      </c>
      <c r="C269" t="s">
        <v>3177</v>
      </c>
      <c r="D269" t="s">
        <v>3178</v>
      </c>
      <c r="E269" t="s">
        <v>3179</v>
      </c>
      <c r="F269" t="s">
        <v>3180</v>
      </c>
      <c r="G269" t="s">
        <v>28</v>
      </c>
      <c r="H269" t="s">
        <v>28</v>
      </c>
      <c r="I269" t="s">
        <v>806</v>
      </c>
    </row>
    <row r="270" spans="1:9" ht="11.25" customHeight="1">
      <c r="A270" t="s">
        <v>2246</v>
      </c>
      <c r="B270" t="s">
        <v>16</v>
      </c>
      <c r="C270" t="s">
        <v>3181</v>
      </c>
      <c r="D270" t="s">
        <v>3182</v>
      </c>
      <c r="E270" t="s">
        <v>3183</v>
      </c>
      <c r="F270" t="s">
        <v>2347</v>
      </c>
      <c r="G270" t="s">
        <v>3184</v>
      </c>
      <c r="H270" t="s">
        <v>28</v>
      </c>
      <c r="I270" t="s">
        <v>806</v>
      </c>
    </row>
    <row r="271" spans="1:9" ht="11.25" customHeight="1">
      <c r="A271" t="s">
        <v>2246</v>
      </c>
      <c r="B271" t="s">
        <v>16</v>
      </c>
      <c r="C271" t="s">
        <v>3185</v>
      </c>
      <c r="D271" t="s">
        <v>3186</v>
      </c>
      <c r="E271" t="s">
        <v>3187</v>
      </c>
      <c r="F271" t="s">
        <v>3188</v>
      </c>
      <c r="G271" t="s">
        <v>3189</v>
      </c>
      <c r="H271" t="s">
        <v>28</v>
      </c>
      <c r="I271" t="s">
        <v>806</v>
      </c>
    </row>
    <row r="272" spans="1:9" ht="11.25" customHeight="1">
      <c r="A272" t="s">
        <v>2246</v>
      </c>
      <c r="B272" t="s">
        <v>16</v>
      </c>
      <c r="C272" t="s">
        <v>3190</v>
      </c>
      <c r="D272" t="s">
        <v>3191</v>
      </c>
      <c r="E272" t="s">
        <v>3192</v>
      </c>
      <c r="F272" t="s">
        <v>2295</v>
      </c>
      <c r="G272" t="s">
        <v>28</v>
      </c>
      <c r="H272" t="s">
        <v>28</v>
      </c>
      <c r="I272" t="s">
        <v>806</v>
      </c>
    </row>
    <row r="273" spans="1:9" ht="11.25" customHeight="1">
      <c r="A273" t="s">
        <v>2246</v>
      </c>
      <c r="B273" t="s">
        <v>16</v>
      </c>
      <c r="C273" t="s">
        <v>3193</v>
      </c>
      <c r="D273" t="s">
        <v>3194</v>
      </c>
      <c r="E273" t="s">
        <v>3195</v>
      </c>
      <c r="F273" t="s">
        <v>2295</v>
      </c>
      <c r="G273" t="s">
        <v>28</v>
      </c>
      <c r="H273" t="s">
        <v>28</v>
      </c>
      <c r="I273" t="s">
        <v>806</v>
      </c>
    </row>
    <row r="274" spans="1:9" ht="11.25" customHeight="1">
      <c r="A274" t="s">
        <v>2246</v>
      </c>
      <c r="B274" t="s">
        <v>16</v>
      </c>
      <c r="C274" t="s">
        <v>3196</v>
      </c>
      <c r="D274" t="s">
        <v>3197</v>
      </c>
      <c r="E274" t="s">
        <v>3198</v>
      </c>
      <c r="F274" t="s">
        <v>2687</v>
      </c>
      <c r="G274" t="s">
        <v>3199</v>
      </c>
      <c r="H274" t="s">
        <v>28</v>
      </c>
      <c r="I274" t="s">
        <v>806</v>
      </c>
    </row>
    <row r="275" spans="1:9" ht="11.25" customHeight="1">
      <c r="A275" t="s">
        <v>2246</v>
      </c>
      <c r="B275" t="s">
        <v>16</v>
      </c>
      <c r="C275" t="s">
        <v>3200</v>
      </c>
      <c r="D275" t="s">
        <v>3201</v>
      </c>
      <c r="E275" t="s">
        <v>3202</v>
      </c>
      <c r="F275" t="s">
        <v>2295</v>
      </c>
      <c r="G275" t="s">
        <v>28</v>
      </c>
      <c r="H275" t="s">
        <v>28</v>
      </c>
      <c r="I275" t="s">
        <v>806</v>
      </c>
    </row>
    <row r="276" spans="1:9" ht="11.25" customHeight="1">
      <c r="A276" t="s">
        <v>2246</v>
      </c>
      <c r="B276" t="s">
        <v>16</v>
      </c>
      <c r="C276" t="s">
        <v>3203</v>
      </c>
      <c r="D276" t="s">
        <v>3204</v>
      </c>
      <c r="E276" t="s">
        <v>3205</v>
      </c>
      <c r="F276" t="s">
        <v>3206</v>
      </c>
      <c r="G276" t="s">
        <v>28</v>
      </c>
      <c r="H276" t="s">
        <v>28</v>
      </c>
      <c r="I276" t="s">
        <v>806</v>
      </c>
    </row>
    <row r="277" spans="1:9" ht="11.25" customHeight="1">
      <c r="A277" t="s">
        <v>2246</v>
      </c>
      <c r="B277" t="s">
        <v>16</v>
      </c>
      <c r="C277" t="s">
        <v>3207</v>
      </c>
      <c r="D277" t="s">
        <v>3208</v>
      </c>
      <c r="E277" t="s">
        <v>3209</v>
      </c>
      <c r="F277" t="s">
        <v>2400</v>
      </c>
      <c r="G277" t="s">
        <v>28</v>
      </c>
      <c r="H277" t="s">
        <v>28</v>
      </c>
      <c r="I277" t="s">
        <v>806</v>
      </c>
    </row>
    <row r="278" spans="1:9" ht="11.25" customHeight="1">
      <c r="A278" t="s">
        <v>2246</v>
      </c>
      <c r="B278" t="s">
        <v>16</v>
      </c>
      <c r="C278" t="s">
        <v>3210</v>
      </c>
      <c r="D278" t="s">
        <v>3211</v>
      </c>
      <c r="E278" t="s">
        <v>3212</v>
      </c>
      <c r="F278" t="s">
        <v>2303</v>
      </c>
      <c r="G278" t="s">
        <v>28</v>
      </c>
      <c r="H278" t="s">
        <v>28</v>
      </c>
      <c r="I278" t="s">
        <v>806</v>
      </c>
    </row>
    <row r="279" spans="1:9" ht="11.25" customHeight="1">
      <c r="A279" t="s">
        <v>2246</v>
      </c>
      <c r="B279" t="s">
        <v>16</v>
      </c>
      <c r="C279" t="s">
        <v>3213</v>
      </c>
      <c r="D279" t="s">
        <v>3214</v>
      </c>
      <c r="E279" t="s">
        <v>3215</v>
      </c>
      <c r="F279" t="s">
        <v>2687</v>
      </c>
      <c r="G279" t="s">
        <v>28</v>
      </c>
      <c r="H279" t="s">
        <v>28</v>
      </c>
      <c r="I279" t="s">
        <v>806</v>
      </c>
    </row>
    <row r="280" spans="1:9" ht="11.25" customHeight="1">
      <c r="A280" t="s">
        <v>2246</v>
      </c>
      <c r="B280" t="s">
        <v>16</v>
      </c>
      <c r="C280" t="s">
        <v>3216</v>
      </c>
      <c r="D280" t="s">
        <v>3217</v>
      </c>
      <c r="E280" t="s">
        <v>3218</v>
      </c>
      <c r="F280" t="s">
        <v>2687</v>
      </c>
      <c r="G280" t="s">
        <v>28</v>
      </c>
      <c r="H280" t="s">
        <v>28</v>
      </c>
      <c r="I280" t="s">
        <v>806</v>
      </c>
    </row>
    <row r="281" spans="1:9" ht="11.25" customHeight="1">
      <c r="A281" t="s">
        <v>2246</v>
      </c>
      <c r="B281" t="s">
        <v>16</v>
      </c>
      <c r="C281" t="s">
        <v>3219</v>
      </c>
      <c r="D281" t="s">
        <v>3220</v>
      </c>
      <c r="E281" t="s">
        <v>3221</v>
      </c>
      <c r="F281" t="s">
        <v>3222</v>
      </c>
      <c r="G281" t="s">
        <v>28</v>
      </c>
      <c r="H281" t="s">
        <v>28</v>
      </c>
      <c r="I281" t="s">
        <v>806</v>
      </c>
    </row>
    <row r="282" spans="1:9" ht="11.25" customHeight="1">
      <c r="A282" t="s">
        <v>2246</v>
      </c>
      <c r="B282" t="s">
        <v>16</v>
      </c>
      <c r="C282" t="s">
        <v>3223</v>
      </c>
      <c r="D282" t="s">
        <v>3224</v>
      </c>
      <c r="E282" t="s">
        <v>3225</v>
      </c>
      <c r="F282" t="s">
        <v>50</v>
      </c>
      <c r="G282" t="s">
        <v>28</v>
      </c>
      <c r="H282" t="s">
        <v>28</v>
      </c>
      <c r="I282" t="s">
        <v>806</v>
      </c>
    </row>
    <row r="283" spans="1:9" ht="11.25" customHeight="1">
      <c r="A283" t="s">
        <v>2246</v>
      </c>
      <c r="B283" t="s">
        <v>16</v>
      </c>
      <c r="C283" t="s">
        <v>3226</v>
      </c>
      <c r="D283" t="s">
        <v>3227</v>
      </c>
      <c r="E283" t="s">
        <v>3228</v>
      </c>
      <c r="F283" t="s">
        <v>2582</v>
      </c>
      <c r="G283" t="s">
        <v>28</v>
      </c>
      <c r="H283" t="s">
        <v>28</v>
      </c>
      <c r="I283" t="s">
        <v>806</v>
      </c>
    </row>
    <row r="284" spans="1:9" ht="11.25" customHeight="1">
      <c r="A284" t="s">
        <v>2246</v>
      </c>
      <c r="B284" t="s">
        <v>16</v>
      </c>
      <c r="C284" t="s">
        <v>3229</v>
      </c>
      <c r="D284" t="s">
        <v>3230</v>
      </c>
      <c r="E284" t="s">
        <v>3231</v>
      </c>
      <c r="F284" t="s">
        <v>2343</v>
      </c>
      <c r="G284" t="s">
        <v>28</v>
      </c>
      <c r="H284" t="s">
        <v>28</v>
      </c>
      <c r="I284" t="s">
        <v>806</v>
      </c>
    </row>
    <row r="285" spans="1:9" ht="11.25" customHeight="1">
      <c r="A285" t="s">
        <v>2246</v>
      </c>
      <c r="B285" t="s">
        <v>16</v>
      </c>
      <c r="C285" t="s">
        <v>3232</v>
      </c>
      <c r="D285" t="s">
        <v>3233</v>
      </c>
      <c r="E285" t="s">
        <v>3234</v>
      </c>
      <c r="F285" t="s">
        <v>2303</v>
      </c>
      <c r="G285" t="s">
        <v>28</v>
      </c>
      <c r="H285" t="s">
        <v>28</v>
      </c>
      <c r="I285" t="s">
        <v>806</v>
      </c>
    </row>
    <row r="286" spans="1:9" ht="11.25" customHeight="1">
      <c r="A286" t="s">
        <v>2246</v>
      </c>
      <c r="B286" t="s">
        <v>16</v>
      </c>
      <c r="C286" t="s">
        <v>3235</v>
      </c>
      <c r="D286" t="s">
        <v>3236</v>
      </c>
      <c r="E286" t="s">
        <v>3237</v>
      </c>
      <c r="F286" t="s">
        <v>3188</v>
      </c>
      <c r="G286" t="s">
        <v>28</v>
      </c>
      <c r="H286" t="s">
        <v>28</v>
      </c>
      <c r="I286" t="s">
        <v>806</v>
      </c>
    </row>
    <row r="287" spans="1:9" ht="11.25" customHeight="1">
      <c r="A287" t="s">
        <v>2246</v>
      </c>
      <c r="B287" t="s">
        <v>16</v>
      </c>
      <c r="C287" t="s">
        <v>3238</v>
      </c>
      <c r="D287" t="s">
        <v>3239</v>
      </c>
      <c r="E287" t="s">
        <v>3240</v>
      </c>
      <c r="F287" t="s">
        <v>2295</v>
      </c>
      <c r="G287" t="s">
        <v>28</v>
      </c>
      <c r="H287" t="s">
        <v>28</v>
      </c>
      <c r="I287" t="s">
        <v>806</v>
      </c>
    </row>
    <row r="288" spans="1:9" ht="11.25" customHeight="1">
      <c r="A288" t="s">
        <v>2246</v>
      </c>
      <c r="B288" t="s">
        <v>16</v>
      </c>
      <c r="C288" t="s">
        <v>3241</v>
      </c>
      <c r="D288" t="s">
        <v>3242</v>
      </c>
      <c r="E288" t="s">
        <v>3243</v>
      </c>
      <c r="F288" t="s">
        <v>2325</v>
      </c>
      <c r="G288" t="s">
        <v>28</v>
      </c>
      <c r="H288" t="s">
        <v>28</v>
      </c>
      <c r="I288" t="s">
        <v>806</v>
      </c>
    </row>
    <row r="289" spans="1:9" ht="11.25" customHeight="1">
      <c r="A289" t="s">
        <v>2246</v>
      </c>
      <c r="B289" t="s">
        <v>16</v>
      </c>
      <c r="C289" t="s">
        <v>3244</v>
      </c>
      <c r="D289" t="s">
        <v>3245</v>
      </c>
      <c r="E289" t="s">
        <v>3246</v>
      </c>
      <c r="F289" t="s">
        <v>2582</v>
      </c>
      <c r="G289" t="s">
        <v>28</v>
      </c>
      <c r="H289" t="s">
        <v>28</v>
      </c>
      <c r="I289" t="s">
        <v>806</v>
      </c>
    </row>
    <row r="290" spans="1:9" ht="11.25" customHeight="1">
      <c r="A290" t="s">
        <v>2246</v>
      </c>
      <c r="B290" t="s">
        <v>16</v>
      </c>
      <c r="C290" t="s">
        <v>3247</v>
      </c>
      <c r="D290" t="s">
        <v>3248</v>
      </c>
      <c r="E290" t="s">
        <v>3249</v>
      </c>
      <c r="F290" t="s">
        <v>2250</v>
      </c>
      <c r="G290" t="s">
        <v>28</v>
      </c>
      <c r="H290" t="s">
        <v>28</v>
      </c>
      <c r="I290" t="s">
        <v>806</v>
      </c>
    </row>
    <row r="291" spans="1:9" ht="11.25" customHeight="1">
      <c r="A291" t="s">
        <v>2246</v>
      </c>
      <c r="B291" t="s">
        <v>16</v>
      </c>
      <c r="C291" t="s">
        <v>3250</v>
      </c>
      <c r="D291" t="s">
        <v>3251</v>
      </c>
      <c r="E291" t="s">
        <v>3252</v>
      </c>
      <c r="F291" t="s">
        <v>2250</v>
      </c>
      <c r="G291" t="s">
        <v>28</v>
      </c>
      <c r="H291" t="s">
        <v>28</v>
      </c>
      <c r="I291" t="s">
        <v>806</v>
      </c>
    </row>
    <row r="292" spans="1:9" ht="11.25" customHeight="1">
      <c r="A292" t="s">
        <v>2246</v>
      </c>
      <c r="B292" t="s">
        <v>16</v>
      </c>
      <c r="C292" t="s">
        <v>3253</v>
      </c>
      <c r="D292" t="s">
        <v>3254</v>
      </c>
      <c r="E292" t="s">
        <v>3255</v>
      </c>
      <c r="F292" t="s">
        <v>2384</v>
      </c>
      <c r="G292" t="s">
        <v>28</v>
      </c>
      <c r="H292" t="s">
        <v>28</v>
      </c>
      <c r="I292" t="s">
        <v>806</v>
      </c>
    </row>
    <row r="293" spans="1:9" ht="11.25" customHeight="1">
      <c r="A293" t="s">
        <v>2246</v>
      </c>
      <c r="B293" t="s">
        <v>16</v>
      </c>
      <c r="C293" t="s">
        <v>3256</v>
      </c>
      <c r="D293" t="s">
        <v>3257</v>
      </c>
      <c r="E293" t="s">
        <v>3258</v>
      </c>
      <c r="F293" t="s">
        <v>2250</v>
      </c>
      <c r="G293" t="s">
        <v>28</v>
      </c>
      <c r="H293" t="s">
        <v>28</v>
      </c>
      <c r="I293" t="s">
        <v>806</v>
      </c>
    </row>
    <row r="294" spans="1:9" ht="11.25" customHeight="1">
      <c r="A294" t="s">
        <v>2246</v>
      </c>
      <c r="B294" t="s">
        <v>16</v>
      </c>
      <c r="C294" t="s">
        <v>3259</v>
      </c>
      <c r="D294" t="s">
        <v>3260</v>
      </c>
      <c r="E294" t="s">
        <v>3261</v>
      </c>
      <c r="F294" t="s">
        <v>2384</v>
      </c>
      <c r="G294" t="s">
        <v>28</v>
      </c>
      <c r="H294" t="s">
        <v>28</v>
      </c>
      <c r="I294" t="s">
        <v>806</v>
      </c>
    </row>
    <row r="295" spans="1:9" ht="11.25" customHeight="1">
      <c r="A295" t="s">
        <v>2246</v>
      </c>
      <c r="B295" t="s">
        <v>16</v>
      </c>
      <c r="C295" t="s">
        <v>3262</v>
      </c>
      <c r="D295" t="s">
        <v>3263</v>
      </c>
      <c r="E295" t="s">
        <v>3264</v>
      </c>
      <c r="F295" t="s">
        <v>3265</v>
      </c>
      <c r="G295" t="s">
        <v>3266</v>
      </c>
      <c r="H295" t="s">
        <v>28</v>
      </c>
      <c r="I295" t="s">
        <v>806</v>
      </c>
    </row>
    <row r="296" spans="1:9" ht="11.25" customHeight="1">
      <c r="A296" t="s">
        <v>2246</v>
      </c>
      <c r="B296" t="s">
        <v>16</v>
      </c>
      <c r="C296" t="s">
        <v>3267</v>
      </c>
      <c r="D296" t="s">
        <v>3268</v>
      </c>
      <c r="E296" t="s">
        <v>3269</v>
      </c>
      <c r="F296" t="s">
        <v>2250</v>
      </c>
      <c r="G296" t="s">
        <v>28</v>
      </c>
      <c r="H296" t="s">
        <v>28</v>
      </c>
      <c r="I296" t="s">
        <v>806</v>
      </c>
    </row>
    <row r="297" spans="1:9" ht="11.25" customHeight="1">
      <c r="A297" t="s">
        <v>2246</v>
      </c>
      <c r="B297" t="s">
        <v>16</v>
      </c>
      <c r="C297" t="s">
        <v>3270</v>
      </c>
      <c r="D297" t="s">
        <v>3271</v>
      </c>
      <c r="E297" t="s">
        <v>3272</v>
      </c>
      <c r="F297" t="s">
        <v>2343</v>
      </c>
      <c r="G297" t="s">
        <v>28</v>
      </c>
      <c r="H297" t="s">
        <v>28</v>
      </c>
      <c r="I297" t="s">
        <v>806</v>
      </c>
    </row>
    <row r="298" spans="1:9" ht="11.25" customHeight="1">
      <c r="A298" t="s">
        <v>2246</v>
      </c>
      <c r="B298" t="s">
        <v>16</v>
      </c>
      <c r="C298" t="s">
        <v>3273</v>
      </c>
      <c r="D298" t="s">
        <v>3274</v>
      </c>
      <c r="E298" t="s">
        <v>3275</v>
      </c>
      <c r="F298" t="s">
        <v>2250</v>
      </c>
      <c r="G298" t="s">
        <v>28</v>
      </c>
      <c r="H298" t="s">
        <v>28</v>
      </c>
      <c r="I298" t="s">
        <v>806</v>
      </c>
    </row>
    <row r="299" spans="1:9" ht="11.25" customHeight="1">
      <c r="A299" t="s">
        <v>2246</v>
      </c>
      <c r="B299" t="s">
        <v>16</v>
      </c>
      <c r="C299" t="s">
        <v>3276</v>
      </c>
      <c r="D299" t="s">
        <v>3277</v>
      </c>
      <c r="E299" t="s">
        <v>3278</v>
      </c>
      <c r="F299" t="s">
        <v>50</v>
      </c>
      <c r="G299" t="s">
        <v>28</v>
      </c>
      <c r="H299" t="s">
        <v>28</v>
      </c>
      <c r="I299" t="s">
        <v>806</v>
      </c>
    </row>
    <row r="300" spans="1:9" ht="11.25" customHeight="1">
      <c r="A300" t="s">
        <v>2246</v>
      </c>
      <c r="B300" t="s">
        <v>16</v>
      </c>
      <c r="C300" t="s">
        <v>3279</v>
      </c>
      <c r="D300" t="s">
        <v>3280</v>
      </c>
      <c r="E300" t="s">
        <v>3281</v>
      </c>
      <c r="F300" t="s">
        <v>3282</v>
      </c>
      <c r="G300" t="s">
        <v>28</v>
      </c>
      <c r="H300" t="s">
        <v>28</v>
      </c>
      <c r="I300" t="s">
        <v>806</v>
      </c>
    </row>
    <row r="301" spans="1:9" ht="11.25" customHeight="1">
      <c r="A301" t="s">
        <v>2246</v>
      </c>
      <c r="B301" t="s">
        <v>16</v>
      </c>
      <c r="C301" t="s">
        <v>3283</v>
      </c>
      <c r="D301" t="s">
        <v>3284</v>
      </c>
      <c r="E301" t="s">
        <v>3285</v>
      </c>
      <c r="F301" t="s">
        <v>2303</v>
      </c>
      <c r="G301" t="s">
        <v>28</v>
      </c>
      <c r="H301" t="s">
        <v>28</v>
      </c>
      <c r="I301" t="s">
        <v>806</v>
      </c>
    </row>
    <row r="302" spans="1:9" ht="11.25" customHeight="1">
      <c r="A302" t="s">
        <v>2246</v>
      </c>
      <c r="B302" t="s">
        <v>16</v>
      </c>
      <c r="C302" t="s">
        <v>3286</v>
      </c>
      <c r="D302" t="s">
        <v>3287</v>
      </c>
      <c r="E302" t="s">
        <v>3288</v>
      </c>
      <c r="F302" t="s">
        <v>3289</v>
      </c>
      <c r="G302" t="s">
        <v>28</v>
      </c>
      <c r="H302" t="s">
        <v>28</v>
      </c>
      <c r="I302" t="s">
        <v>806</v>
      </c>
    </row>
    <row r="303" spans="1:9" ht="11.25" customHeight="1">
      <c r="A303" t="s">
        <v>2246</v>
      </c>
      <c r="B303" t="s">
        <v>16</v>
      </c>
      <c r="C303" t="s">
        <v>3290</v>
      </c>
      <c r="D303" t="s">
        <v>3291</v>
      </c>
      <c r="E303" t="s">
        <v>3292</v>
      </c>
      <c r="F303" t="s">
        <v>2303</v>
      </c>
      <c r="G303" t="s">
        <v>28</v>
      </c>
      <c r="H303" t="s">
        <v>28</v>
      </c>
      <c r="I303" t="s">
        <v>806</v>
      </c>
    </row>
    <row r="304" spans="1:9" ht="11.25" customHeight="1">
      <c r="A304" t="s">
        <v>2246</v>
      </c>
      <c r="B304" t="s">
        <v>16</v>
      </c>
      <c r="C304" t="s">
        <v>3293</v>
      </c>
      <c r="D304" t="s">
        <v>3294</v>
      </c>
      <c r="E304" t="s">
        <v>3295</v>
      </c>
      <c r="F304" t="s">
        <v>2332</v>
      </c>
      <c r="G304" t="s">
        <v>28</v>
      </c>
      <c r="H304" t="s">
        <v>28</v>
      </c>
      <c r="I304" t="s">
        <v>806</v>
      </c>
    </row>
    <row r="305" spans="1:9" ht="11.25" customHeight="1">
      <c r="A305" t="s">
        <v>2246</v>
      </c>
      <c r="B305" t="s">
        <v>16</v>
      </c>
      <c r="C305" t="s">
        <v>3296</v>
      </c>
      <c r="D305" t="s">
        <v>3297</v>
      </c>
      <c r="E305" t="s">
        <v>3298</v>
      </c>
      <c r="F305" t="s">
        <v>2384</v>
      </c>
      <c r="G305" t="s">
        <v>28</v>
      </c>
      <c r="H305" t="s">
        <v>28</v>
      </c>
      <c r="I305" t="s">
        <v>806</v>
      </c>
    </row>
    <row r="306" spans="1:9" ht="11.25" customHeight="1">
      <c r="A306" t="s">
        <v>2246</v>
      </c>
      <c r="B306" t="s">
        <v>16</v>
      </c>
      <c r="C306" t="s">
        <v>3299</v>
      </c>
      <c r="D306" t="s">
        <v>3300</v>
      </c>
      <c r="E306" t="s">
        <v>3301</v>
      </c>
      <c r="F306" t="s">
        <v>2268</v>
      </c>
      <c r="G306" t="s">
        <v>28</v>
      </c>
      <c r="H306" t="s">
        <v>28</v>
      </c>
      <c r="I306" t="s">
        <v>806</v>
      </c>
    </row>
    <row r="307" spans="1:9" ht="11.25" customHeight="1">
      <c r="A307" t="s">
        <v>2246</v>
      </c>
      <c r="B307" t="s">
        <v>16</v>
      </c>
      <c r="C307" t="s">
        <v>3302</v>
      </c>
      <c r="D307" t="s">
        <v>3303</v>
      </c>
      <c r="E307" t="s">
        <v>3304</v>
      </c>
      <c r="F307" t="s">
        <v>2332</v>
      </c>
      <c r="G307" t="s">
        <v>28</v>
      </c>
      <c r="H307" t="s">
        <v>28</v>
      </c>
      <c r="I307" t="s">
        <v>806</v>
      </c>
    </row>
    <row r="308" spans="1:9" ht="11.25" customHeight="1">
      <c r="A308" t="s">
        <v>2246</v>
      </c>
      <c r="B308" t="s">
        <v>16</v>
      </c>
      <c r="C308" t="s">
        <v>3305</v>
      </c>
      <c r="D308" t="s">
        <v>3306</v>
      </c>
      <c r="E308" t="s">
        <v>3307</v>
      </c>
      <c r="F308" t="s">
        <v>2687</v>
      </c>
      <c r="G308" t="s">
        <v>28</v>
      </c>
      <c r="H308" t="s">
        <v>28</v>
      </c>
      <c r="I308" t="s">
        <v>806</v>
      </c>
    </row>
    <row r="309" spans="1:9" ht="11.25" customHeight="1">
      <c r="A309" t="s">
        <v>2246</v>
      </c>
      <c r="B309" t="s">
        <v>16</v>
      </c>
      <c r="C309" t="s">
        <v>3308</v>
      </c>
      <c r="D309" t="s">
        <v>3309</v>
      </c>
      <c r="E309" t="s">
        <v>3310</v>
      </c>
      <c r="F309" t="s">
        <v>50</v>
      </c>
      <c r="G309" t="s">
        <v>28</v>
      </c>
      <c r="H309" t="s">
        <v>28</v>
      </c>
      <c r="I309" t="s">
        <v>806</v>
      </c>
    </row>
    <row r="310" spans="1:9" ht="11.25" customHeight="1">
      <c r="A310" t="s">
        <v>2246</v>
      </c>
      <c r="B310" t="s">
        <v>16</v>
      </c>
      <c r="C310" t="s">
        <v>3311</v>
      </c>
      <c r="D310" t="s">
        <v>3312</v>
      </c>
      <c r="E310" t="s">
        <v>3313</v>
      </c>
      <c r="F310" t="s">
        <v>2582</v>
      </c>
      <c r="G310" t="s">
        <v>28</v>
      </c>
      <c r="H310" t="s">
        <v>28</v>
      </c>
      <c r="I310" t="s">
        <v>806</v>
      </c>
    </row>
    <row r="311" spans="1:9" ht="11.25" customHeight="1">
      <c r="A311" t="s">
        <v>2246</v>
      </c>
      <c r="B311" t="s">
        <v>16</v>
      </c>
      <c r="C311" t="s">
        <v>3314</v>
      </c>
      <c r="D311" t="s">
        <v>3315</v>
      </c>
      <c r="E311" t="s">
        <v>3316</v>
      </c>
      <c r="F311" t="s">
        <v>2250</v>
      </c>
      <c r="G311" t="s">
        <v>28</v>
      </c>
      <c r="H311" t="s">
        <v>28</v>
      </c>
      <c r="I311" t="s">
        <v>806</v>
      </c>
    </row>
    <row r="312" spans="1:9" ht="11.25" customHeight="1">
      <c r="A312" t="s">
        <v>2246</v>
      </c>
      <c r="B312" t="s">
        <v>16</v>
      </c>
      <c r="C312" t="s">
        <v>3317</v>
      </c>
      <c r="D312" t="s">
        <v>3318</v>
      </c>
      <c r="E312" t="s">
        <v>3319</v>
      </c>
      <c r="F312" t="s">
        <v>2384</v>
      </c>
      <c r="G312" t="s">
        <v>28</v>
      </c>
      <c r="H312" t="s">
        <v>28</v>
      </c>
      <c r="I312" t="s">
        <v>806</v>
      </c>
    </row>
    <row r="313" spans="1:9" ht="11.25" customHeight="1">
      <c r="A313" t="s">
        <v>2246</v>
      </c>
      <c r="B313" t="s">
        <v>16</v>
      </c>
      <c r="C313" t="s">
        <v>3320</v>
      </c>
      <c r="D313" t="s">
        <v>3321</v>
      </c>
      <c r="E313" t="s">
        <v>3322</v>
      </c>
      <c r="F313" t="s">
        <v>2268</v>
      </c>
      <c r="G313" t="s">
        <v>28</v>
      </c>
      <c r="H313" t="s">
        <v>28</v>
      </c>
      <c r="I313" t="s">
        <v>806</v>
      </c>
    </row>
    <row r="314" spans="1:9" ht="11.25" customHeight="1">
      <c r="A314" t="s">
        <v>2246</v>
      </c>
      <c r="B314" t="s">
        <v>16</v>
      </c>
      <c r="C314" t="s">
        <v>3323</v>
      </c>
      <c r="D314" t="s">
        <v>3324</v>
      </c>
      <c r="E314" t="s">
        <v>3325</v>
      </c>
      <c r="F314" t="s">
        <v>2332</v>
      </c>
      <c r="G314" t="s">
        <v>28</v>
      </c>
      <c r="H314" t="s">
        <v>28</v>
      </c>
      <c r="I314" t="s">
        <v>806</v>
      </c>
    </row>
    <row r="315" spans="1:9" ht="11.25" customHeight="1">
      <c r="A315" t="s">
        <v>2246</v>
      </c>
      <c r="B315" t="s">
        <v>16</v>
      </c>
      <c r="C315" t="s">
        <v>3326</v>
      </c>
      <c r="D315" t="s">
        <v>3327</v>
      </c>
      <c r="E315" t="s">
        <v>3328</v>
      </c>
      <c r="F315" t="s">
        <v>2303</v>
      </c>
      <c r="G315" t="s">
        <v>28</v>
      </c>
      <c r="H315" t="s">
        <v>28</v>
      </c>
      <c r="I315" t="s">
        <v>806</v>
      </c>
    </row>
    <row r="316" spans="1:9" ht="11.25" customHeight="1">
      <c r="A316" t="s">
        <v>2246</v>
      </c>
      <c r="B316" t="s">
        <v>16</v>
      </c>
      <c r="C316" t="s">
        <v>3329</v>
      </c>
      <c r="D316" t="s">
        <v>3330</v>
      </c>
      <c r="E316" t="s">
        <v>3331</v>
      </c>
      <c r="F316" t="s">
        <v>50</v>
      </c>
      <c r="G316" t="s">
        <v>28</v>
      </c>
      <c r="H316" t="s">
        <v>28</v>
      </c>
      <c r="I316" t="s">
        <v>806</v>
      </c>
    </row>
    <row r="317" spans="1:9" ht="11.25" customHeight="1">
      <c r="A317" t="s">
        <v>2246</v>
      </c>
      <c r="B317" t="s">
        <v>16</v>
      </c>
      <c r="C317" t="s">
        <v>3332</v>
      </c>
      <c r="D317" t="s">
        <v>3333</v>
      </c>
      <c r="E317" t="s">
        <v>3334</v>
      </c>
      <c r="F317" t="s">
        <v>2303</v>
      </c>
      <c r="G317" t="s">
        <v>3335</v>
      </c>
      <c r="H317" t="s">
        <v>28</v>
      </c>
      <c r="I317" t="s">
        <v>806</v>
      </c>
    </row>
    <row r="318" spans="1:9" ht="11.25" customHeight="1">
      <c r="A318" t="s">
        <v>2246</v>
      </c>
      <c r="B318" t="s">
        <v>16</v>
      </c>
      <c r="C318" t="s">
        <v>3336</v>
      </c>
      <c r="D318" t="s">
        <v>3337</v>
      </c>
      <c r="E318" t="s">
        <v>3338</v>
      </c>
      <c r="F318" t="s">
        <v>2574</v>
      </c>
      <c r="G318" t="s">
        <v>28</v>
      </c>
      <c r="H318" t="s">
        <v>28</v>
      </c>
      <c r="I318" t="s">
        <v>806</v>
      </c>
    </row>
    <row r="319" spans="1:9" ht="11.25" customHeight="1">
      <c r="A319" t="s">
        <v>2246</v>
      </c>
      <c r="B319" t="s">
        <v>16</v>
      </c>
      <c r="C319" t="s">
        <v>3339</v>
      </c>
      <c r="D319" t="s">
        <v>3340</v>
      </c>
      <c r="E319" t="s">
        <v>3341</v>
      </c>
      <c r="F319" t="s">
        <v>2687</v>
      </c>
      <c r="G319" t="s">
        <v>28</v>
      </c>
      <c r="H319" t="s">
        <v>28</v>
      </c>
      <c r="I319" t="s">
        <v>806</v>
      </c>
    </row>
    <row r="320" spans="1:9" ht="11.25" customHeight="1">
      <c r="A320" t="s">
        <v>2246</v>
      </c>
      <c r="B320" t="s">
        <v>16</v>
      </c>
      <c r="C320" t="s">
        <v>3342</v>
      </c>
      <c r="D320" t="s">
        <v>3343</v>
      </c>
      <c r="E320" t="s">
        <v>3344</v>
      </c>
      <c r="F320" t="s">
        <v>2250</v>
      </c>
      <c r="G320" t="s">
        <v>28</v>
      </c>
      <c r="H320" t="s">
        <v>28</v>
      </c>
      <c r="I320" t="s">
        <v>806</v>
      </c>
    </row>
    <row r="321" spans="1:9" ht="11.25" customHeight="1">
      <c r="A321" t="s">
        <v>2246</v>
      </c>
      <c r="B321" t="s">
        <v>16</v>
      </c>
      <c r="C321" t="s">
        <v>3345</v>
      </c>
      <c r="D321" t="s">
        <v>3346</v>
      </c>
      <c r="E321" t="s">
        <v>3347</v>
      </c>
      <c r="F321" t="s">
        <v>2250</v>
      </c>
      <c r="G321" t="s">
        <v>28</v>
      </c>
      <c r="H321" t="s">
        <v>28</v>
      </c>
      <c r="I321" t="s">
        <v>806</v>
      </c>
    </row>
    <row r="322" spans="1:9" ht="11.25" customHeight="1">
      <c r="A322" t="s">
        <v>2246</v>
      </c>
      <c r="B322" t="s">
        <v>16</v>
      </c>
      <c r="C322" t="s">
        <v>3348</v>
      </c>
      <c r="D322" t="s">
        <v>3349</v>
      </c>
      <c r="E322" t="s">
        <v>3350</v>
      </c>
      <c r="F322" t="s">
        <v>2325</v>
      </c>
      <c r="G322" t="s">
        <v>28</v>
      </c>
      <c r="H322" t="s">
        <v>28</v>
      </c>
      <c r="I322" t="s">
        <v>806</v>
      </c>
    </row>
    <row r="323" spans="1:9" ht="11.25" customHeight="1">
      <c r="A323" t="s">
        <v>2246</v>
      </c>
      <c r="B323" t="s">
        <v>16</v>
      </c>
      <c r="C323" t="s">
        <v>3351</v>
      </c>
      <c r="D323" t="s">
        <v>3352</v>
      </c>
      <c r="E323" t="s">
        <v>3353</v>
      </c>
      <c r="F323" t="s">
        <v>2370</v>
      </c>
      <c r="G323" t="s">
        <v>28</v>
      </c>
      <c r="H323" t="s">
        <v>28</v>
      </c>
      <c r="I323" t="s">
        <v>806</v>
      </c>
    </row>
    <row r="324" spans="1:9" ht="11.25" customHeight="1">
      <c r="A324" t="s">
        <v>2246</v>
      </c>
      <c r="B324" t="s">
        <v>16</v>
      </c>
      <c r="C324" t="s">
        <v>3354</v>
      </c>
      <c r="D324" t="s">
        <v>3355</v>
      </c>
      <c r="E324" t="s">
        <v>3356</v>
      </c>
      <c r="F324" t="s">
        <v>2384</v>
      </c>
      <c r="G324" t="s">
        <v>28</v>
      </c>
      <c r="H324" t="s">
        <v>28</v>
      </c>
      <c r="I324" t="s">
        <v>806</v>
      </c>
    </row>
    <row r="325" spans="1:9" ht="11.25" customHeight="1">
      <c r="A325" t="s">
        <v>2246</v>
      </c>
      <c r="B325" t="s">
        <v>16</v>
      </c>
      <c r="C325" t="s">
        <v>3357</v>
      </c>
      <c r="D325" t="s">
        <v>3358</v>
      </c>
      <c r="E325" t="s">
        <v>3359</v>
      </c>
      <c r="F325" t="s">
        <v>2574</v>
      </c>
      <c r="G325" t="s">
        <v>28</v>
      </c>
      <c r="H325" t="s">
        <v>28</v>
      </c>
      <c r="I325" t="s">
        <v>806</v>
      </c>
    </row>
    <row r="326" spans="1:9" ht="11.25" customHeight="1">
      <c r="A326" t="s">
        <v>2246</v>
      </c>
      <c r="B326" t="s">
        <v>16</v>
      </c>
      <c r="C326" t="s">
        <v>3360</v>
      </c>
      <c r="D326" t="s">
        <v>3361</v>
      </c>
      <c r="E326" t="s">
        <v>3362</v>
      </c>
      <c r="F326" t="s">
        <v>2295</v>
      </c>
      <c r="G326" t="s">
        <v>28</v>
      </c>
      <c r="H326" t="s">
        <v>28</v>
      </c>
      <c r="I326" t="s">
        <v>806</v>
      </c>
    </row>
    <row r="327" spans="1:9" ht="11.25" customHeight="1">
      <c r="A327" t="s">
        <v>2246</v>
      </c>
      <c r="B327" t="s">
        <v>16</v>
      </c>
      <c r="C327" t="s">
        <v>3363</v>
      </c>
      <c r="D327" t="s">
        <v>3364</v>
      </c>
      <c r="E327" t="s">
        <v>3365</v>
      </c>
      <c r="F327" t="s">
        <v>2384</v>
      </c>
      <c r="G327" t="s">
        <v>28</v>
      </c>
      <c r="H327" t="s">
        <v>28</v>
      </c>
      <c r="I327" t="s">
        <v>806</v>
      </c>
    </row>
    <row r="328" spans="1:9" ht="11.25" customHeight="1">
      <c r="A328" t="s">
        <v>2246</v>
      </c>
      <c r="B328" t="s">
        <v>16</v>
      </c>
      <c r="C328" t="s">
        <v>3366</v>
      </c>
      <c r="D328" t="s">
        <v>3367</v>
      </c>
      <c r="E328" t="s">
        <v>3368</v>
      </c>
      <c r="F328" t="s">
        <v>2250</v>
      </c>
      <c r="G328" t="s">
        <v>28</v>
      </c>
      <c r="H328" t="s">
        <v>28</v>
      </c>
      <c r="I328" t="s">
        <v>806</v>
      </c>
    </row>
    <row r="329" spans="1:9" ht="11.25" customHeight="1">
      <c r="A329" t="s">
        <v>2246</v>
      </c>
      <c r="B329" t="s">
        <v>16</v>
      </c>
      <c r="C329" t="s">
        <v>3369</v>
      </c>
      <c r="D329" t="s">
        <v>3370</v>
      </c>
      <c r="E329" t="s">
        <v>3371</v>
      </c>
      <c r="F329" t="s">
        <v>2332</v>
      </c>
      <c r="G329" t="s">
        <v>28</v>
      </c>
      <c r="H329" t="s">
        <v>28</v>
      </c>
      <c r="I329" t="s">
        <v>806</v>
      </c>
    </row>
    <row r="330" spans="1:9" ht="11.25" customHeight="1">
      <c r="A330" t="s">
        <v>2246</v>
      </c>
      <c r="B330" t="s">
        <v>16</v>
      </c>
      <c r="C330" t="s">
        <v>3372</v>
      </c>
      <c r="D330" t="s">
        <v>3373</v>
      </c>
      <c r="E330" t="s">
        <v>3374</v>
      </c>
      <c r="F330" t="s">
        <v>2343</v>
      </c>
      <c r="G330" t="s">
        <v>28</v>
      </c>
      <c r="H330" t="s">
        <v>28</v>
      </c>
      <c r="I330" t="s">
        <v>806</v>
      </c>
    </row>
    <row r="331" spans="1:9" ht="11.25" customHeight="1">
      <c r="A331" t="s">
        <v>2246</v>
      </c>
      <c r="B331" t="s">
        <v>16</v>
      </c>
      <c r="C331" t="s">
        <v>3375</v>
      </c>
      <c r="D331" t="s">
        <v>3376</v>
      </c>
      <c r="E331" t="s">
        <v>3377</v>
      </c>
      <c r="F331" t="s">
        <v>2332</v>
      </c>
      <c r="G331" t="s">
        <v>28</v>
      </c>
      <c r="H331" t="s">
        <v>28</v>
      </c>
      <c r="I331" t="s">
        <v>806</v>
      </c>
    </row>
    <row r="332" spans="1:9" ht="11.25" customHeight="1">
      <c r="A332" t="s">
        <v>2246</v>
      </c>
      <c r="B332" t="s">
        <v>16</v>
      </c>
      <c r="C332" t="s">
        <v>3378</v>
      </c>
      <c r="D332" t="s">
        <v>3379</v>
      </c>
      <c r="E332" t="s">
        <v>3380</v>
      </c>
      <c r="F332" t="s">
        <v>2303</v>
      </c>
      <c r="G332" t="s">
        <v>28</v>
      </c>
      <c r="H332" t="s">
        <v>28</v>
      </c>
      <c r="I332" t="s">
        <v>806</v>
      </c>
    </row>
    <row r="333" spans="1:9" ht="11.25" customHeight="1">
      <c r="A333" t="s">
        <v>2246</v>
      </c>
      <c r="B333" t="s">
        <v>16</v>
      </c>
      <c r="C333" t="s">
        <v>3381</v>
      </c>
      <c r="D333" t="s">
        <v>3382</v>
      </c>
      <c r="E333" t="s">
        <v>3383</v>
      </c>
      <c r="F333" t="s">
        <v>2343</v>
      </c>
      <c r="G333" t="s">
        <v>28</v>
      </c>
      <c r="H333" t="s">
        <v>28</v>
      </c>
      <c r="I333" t="s">
        <v>806</v>
      </c>
    </row>
    <row r="334" spans="1:9" ht="11.25" customHeight="1">
      <c r="A334" t="s">
        <v>2246</v>
      </c>
      <c r="B334" t="s">
        <v>16</v>
      </c>
      <c r="C334" t="s">
        <v>3384</v>
      </c>
      <c r="D334" t="s">
        <v>3385</v>
      </c>
      <c r="E334" t="s">
        <v>3386</v>
      </c>
      <c r="F334" t="s">
        <v>2332</v>
      </c>
      <c r="G334" t="s">
        <v>28</v>
      </c>
      <c r="H334" t="s">
        <v>28</v>
      </c>
      <c r="I334" t="s">
        <v>806</v>
      </c>
    </row>
    <row r="335" spans="1:9" ht="11.25" customHeight="1">
      <c r="A335" t="s">
        <v>2246</v>
      </c>
      <c r="B335" t="s">
        <v>16</v>
      </c>
      <c r="C335" t="s">
        <v>3387</v>
      </c>
      <c r="D335" t="s">
        <v>3388</v>
      </c>
      <c r="E335" t="s">
        <v>3389</v>
      </c>
      <c r="F335" t="s">
        <v>2332</v>
      </c>
      <c r="G335" t="s">
        <v>28</v>
      </c>
      <c r="H335" t="s">
        <v>28</v>
      </c>
      <c r="I335" t="s">
        <v>806</v>
      </c>
    </row>
    <row r="336" spans="1:9" ht="11.25" customHeight="1">
      <c r="A336" t="s">
        <v>2246</v>
      </c>
      <c r="B336" t="s">
        <v>16</v>
      </c>
      <c r="C336" t="s">
        <v>3390</v>
      </c>
      <c r="D336" t="s">
        <v>3391</v>
      </c>
      <c r="E336" t="s">
        <v>3392</v>
      </c>
      <c r="F336" t="s">
        <v>3393</v>
      </c>
      <c r="G336" t="s">
        <v>28</v>
      </c>
      <c r="H336" t="s">
        <v>28</v>
      </c>
      <c r="I336" t="s">
        <v>806</v>
      </c>
    </row>
    <row r="337" spans="1:9" ht="11.25" customHeight="1">
      <c r="A337" t="s">
        <v>2246</v>
      </c>
      <c r="B337" t="s">
        <v>16</v>
      </c>
      <c r="C337" t="s">
        <v>3394</v>
      </c>
      <c r="D337" t="s">
        <v>3395</v>
      </c>
      <c r="E337" t="s">
        <v>3396</v>
      </c>
      <c r="F337" t="s">
        <v>3397</v>
      </c>
      <c r="G337" t="s">
        <v>28</v>
      </c>
      <c r="H337" t="s">
        <v>28</v>
      </c>
      <c r="I337" t="s">
        <v>806</v>
      </c>
    </row>
    <row r="338" spans="1:9" ht="11.25" customHeight="1">
      <c r="A338" t="s">
        <v>2246</v>
      </c>
      <c r="B338" t="s">
        <v>16</v>
      </c>
      <c r="C338" t="s">
        <v>3398</v>
      </c>
      <c r="D338" t="s">
        <v>3399</v>
      </c>
      <c r="E338" t="s">
        <v>3400</v>
      </c>
      <c r="F338" t="s">
        <v>2687</v>
      </c>
      <c r="G338" t="s">
        <v>28</v>
      </c>
      <c r="H338" t="s">
        <v>28</v>
      </c>
      <c r="I338" t="s">
        <v>806</v>
      </c>
    </row>
    <row r="339" spans="1:9" ht="11.25" customHeight="1">
      <c r="A339" t="s">
        <v>2246</v>
      </c>
      <c r="B339" t="s">
        <v>16</v>
      </c>
      <c r="C339" t="s">
        <v>3401</v>
      </c>
      <c r="D339" t="s">
        <v>3402</v>
      </c>
      <c r="E339" t="s">
        <v>3403</v>
      </c>
      <c r="F339" t="s">
        <v>3404</v>
      </c>
      <c r="G339" t="s">
        <v>28</v>
      </c>
      <c r="H339" t="s">
        <v>28</v>
      </c>
      <c r="I339" t="s">
        <v>806</v>
      </c>
    </row>
    <row r="340" spans="1:9" ht="11.25" customHeight="1">
      <c r="A340" t="s">
        <v>2246</v>
      </c>
      <c r="B340" t="s">
        <v>16</v>
      </c>
      <c r="C340" t="s">
        <v>3405</v>
      </c>
      <c r="D340" t="s">
        <v>3406</v>
      </c>
      <c r="E340" t="s">
        <v>3407</v>
      </c>
      <c r="F340" t="s">
        <v>2400</v>
      </c>
      <c r="G340" t="s">
        <v>28</v>
      </c>
      <c r="H340" t="s">
        <v>28</v>
      </c>
      <c r="I340" t="s">
        <v>806</v>
      </c>
    </row>
    <row r="341" spans="1:9" ht="11.25" customHeight="1">
      <c r="A341" t="s">
        <v>2246</v>
      </c>
      <c r="B341" t="s">
        <v>16</v>
      </c>
      <c r="C341" t="s">
        <v>3408</v>
      </c>
      <c r="D341" t="s">
        <v>3409</v>
      </c>
      <c r="E341" t="s">
        <v>3410</v>
      </c>
      <c r="F341" t="s">
        <v>2250</v>
      </c>
      <c r="G341" t="s">
        <v>28</v>
      </c>
      <c r="H341" t="s">
        <v>28</v>
      </c>
      <c r="I341" t="s">
        <v>806</v>
      </c>
    </row>
    <row r="342" spans="1:9" ht="11.25" customHeight="1">
      <c r="A342" t="s">
        <v>2246</v>
      </c>
      <c r="B342" t="s">
        <v>16</v>
      </c>
      <c r="C342" t="s">
        <v>3411</v>
      </c>
      <c r="D342" t="s">
        <v>3412</v>
      </c>
      <c r="E342" t="s">
        <v>3413</v>
      </c>
      <c r="F342" t="s">
        <v>2332</v>
      </c>
      <c r="G342" t="s">
        <v>28</v>
      </c>
      <c r="H342" t="s">
        <v>28</v>
      </c>
      <c r="I342" t="s">
        <v>806</v>
      </c>
    </row>
    <row r="343" spans="1:9" ht="11.25" customHeight="1">
      <c r="A343" t="s">
        <v>2246</v>
      </c>
      <c r="B343" t="s">
        <v>16</v>
      </c>
      <c r="C343" t="s">
        <v>3414</v>
      </c>
      <c r="D343" t="s">
        <v>3415</v>
      </c>
      <c r="E343" t="s">
        <v>3416</v>
      </c>
      <c r="F343" t="s">
        <v>2250</v>
      </c>
      <c r="G343" t="s">
        <v>28</v>
      </c>
      <c r="H343" t="s">
        <v>28</v>
      </c>
      <c r="I343" t="s">
        <v>806</v>
      </c>
    </row>
    <row r="344" spans="1:9" ht="11.25" customHeight="1">
      <c r="A344" t="s">
        <v>2246</v>
      </c>
      <c r="B344" t="s">
        <v>16</v>
      </c>
      <c r="C344" t="s">
        <v>3417</v>
      </c>
      <c r="D344" t="s">
        <v>3418</v>
      </c>
      <c r="E344" t="s">
        <v>3419</v>
      </c>
      <c r="F344" t="s">
        <v>2325</v>
      </c>
      <c r="G344" t="s">
        <v>28</v>
      </c>
      <c r="H344" t="s">
        <v>28</v>
      </c>
      <c r="I344" t="s">
        <v>806</v>
      </c>
    </row>
    <row r="345" spans="1:9" ht="11.25" customHeight="1">
      <c r="A345" t="s">
        <v>2246</v>
      </c>
      <c r="B345" t="s">
        <v>16</v>
      </c>
      <c r="C345" t="s">
        <v>3420</v>
      </c>
      <c r="D345" t="s">
        <v>3421</v>
      </c>
      <c r="E345" t="s">
        <v>3422</v>
      </c>
      <c r="F345" t="s">
        <v>2268</v>
      </c>
      <c r="G345" t="s">
        <v>28</v>
      </c>
      <c r="H345" t="s">
        <v>28</v>
      </c>
      <c r="I345" t="s">
        <v>806</v>
      </c>
    </row>
    <row r="346" spans="1:9" ht="11.25" customHeight="1">
      <c r="A346" t="s">
        <v>2246</v>
      </c>
      <c r="B346" t="s">
        <v>16</v>
      </c>
      <c r="C346" t="s">
        <v>3423</v>
      </c>
      <c r="D346" t="s">
        <v>3424</v>
      </c>
      <c r="E346" t="s">
        <v>3425</v>
      </c>
      <c r="F346" t="s">
        <v>2384</v>
      </c>
      <c r="G346" t="s">
        <v>28</v>
      </c>
      <c r="H346" t="s">
        <v>28</v>
      </c>
      <c r="I346" t="s">
        <v>806</v>
      </c>
    </row>
    <row r="347" spans="1:9" ht="11.25" customHeight="1">
      <c r="A347" t="s">
        <v>2246</v>
      </c>
      <c r="B347" t="s">
        <v>16</v>
      </c>
      <c r="C347" t="s">
        <v>3426</v>
      </c>
      <c r="D347" t="s">
        <v>3427</v>
      </c>
      <c r="E347" t="s">
        <v>3272</v>
      </c>
      <c r="F347" t="s">
        <v>50</v>
      </c>
      <c r="G347" t="s">
        <v>28</v>
      </c>
      <c r="H347" t="s">
        <v>28</v>
      </c>
      <c r="I347" t="s">
        <v>806</v>
      </c>
    </row>
    <row r="348" spans="1:9" ht="11.25" customHeight="1">
      <c r="A348" t="s">
        <v>2246</v>
      </c>
      <c r="B348" t="s">
        <v>16</v>
      </c>
      <c r="C348" t="s">
        <v>3428</v>
      </c>
      <c r="D348" t="s">
        <v>3429</v>
      </c>
      <c r="E348" t="s">
        <v>3430</v>
      </c>
      <c r="F348" t="s">
        <v>2250</v>
      </c>
      <c r="G348" t="s">
        <v>28</v>
      </c>
      <c r="H348" t="s">
        <v>28</v>
      </c>
      <c r="I348" t="s">
        <v>806</v>
      </c>
    </row>
    <row r="349" spans="1:9" ht="11.25" customHeight="1">
      <c r="A349" t="s">
        <v>2246</v>
      </c>
      <c r="B349" t="s">
        <v>16</v>
      </c>
      <c r="C349" t="s">
        <v>3431</v>
      </c>
      <c r="D349" t="s">
        <v>3432</v>
      </c>
      <c r="E349" t="s">
        <v>3433</v>
      </c>
      <c r="F349" t="s">
        <v>2332</v>
      </c>
      <c r="G349" t="s">
        <v>28</v>
      </c>
      <c r="H349" t="s">
        <v>28</v>
      </c>
      <c r="I349" t="s">
        <v>806</v>
      </c>
    </row>
    <row r="350" spans="1:9" ht="11.25" customHeight="1">
      <c r="A350" t="s">
        <v>2246</v>
      </c>
      <c r="B350" t="s">
        <v>16</v>
      </c>
      <c r="C350" t="s">
        <v>3434</v>
      </c>
      <c r="D350" t="s">
        <v>3435</v>
      </c>
      <c r="E350" t="s">
        <v>3436</v>
      </c>
      <c r="F350" t="s">
        <v>2384</v>
      </c>
      <c r="G350" t="s">
        <v>28</v>
      </c>
      <c r="H350" t="s">
        <v>28</v>
      </c>
      <c r="I350" t="s">
        <v>806</v>
      </c>
    </row>
    <row r="351" spans="1:9" ht="11.25" customHeight="1">
      <c r="A351" t="s">
        <v>2246</v>
      </c>
      <c r="B351" t="s">
        <v>16</v>
      </c>
      <c r="C351" t="s">
        <v>3437</v>
      </c>
      <c r="D351" t="s">
        <v>3438</v>
      </c>
      <c r="E351" t="s">
        <v>3439</v>
      </c>
      <c r="F351" t="s">
        <v>2360</v>
      </c>
      <c r="G351" t="s">
        <v>28</v>
      </c>
      <c r="H351" t="s">
        <v>28</v>
      </c>
      <c r="I351" t="s">
        <v>806</v>
      </c>
    </row>
    <row r="352" spans="1:9" ht="11.25" customHeight="1">
      <c r="A352" t="s">
        <v>2246</v>
      </c>
      <c r="B352" t="s">
        <v>16</v>
      </c>
      <c r="C352" t="s">
        <v>3440</v>
      </c>
      <c r="D352" t="s">
        <v>3441</v>
      </c>
      <c r="E352" t="s">
        <v>3442</v>
      </c>
      <c r="F352" t="s">
        <v>2303</v>
      </c>
      <c r="G352" t="s">
        <v>28</v>
      </c>
      <c r="H352" t="s">
        <v>28</v>
      </c>
      <c r="I352" t="s">
        <v>806</v>
      </c>
    </row>
    <row r="353" spans="1:9" ht="11.25" customHeight="1">
      <c r="A353" t="s">
        <v>2246</v>
      </c>
      <c r="B353" t="s">
        <v>16</v>
      </c>
      <c r="C353" t="s">
        <v>3443</v>
      </c>
      <c r="D353" t="s">
        <v>3444</v>
      </c>
      <c r="E353" t="s">
        <v>3445</v>
      </c>
      <c r="F353" t="s">
        <v>2332</v>
      </c>
      <c r="G353" t="s">
        <v>28</v>
      </c>
      <c r="H353" t="s">
        <v>28</v>
      </c>
      <c r="I353" t="s">
        <v>806</v>
      </c>
    </row>
    <row r="354" spans="1:9" ht="11.25" customHeight="1">
      <c r="A354" t="s">
        <v>2246</v>
      </c>
      <c r="B354" t="s">
        <v>16</v>
      </c>
      <c r="C354" t="s">
        <v>3446</v>
      </c>
      <c r="D354" t="s">
        <v>3447</v>
      </c>
      <c r="E354" t="s">
        <v>3448</v>
      </c>
      <c r="F354" t="s">
        <v>50</v>
      </c>
      <c r="G354" t="s">
        <v>28</v>
      </c>
      <c r="H354" t="s">
        <v>28</v>
      </c>
      <c r="I354" t="s">
        <v>806</v>
      </c>
    </row>
    <row r="355" spans="1:9" ht="11.25" customHeight="1">
      <c r="A355" t="s">
        <v>2246</v>
      </c>
      <c r="B355" t="s">
        <v>16</v>
      </c>
      <c r="C355" t="s">
        <v>3449</v>
      </c>
      <c r="D355" t="s">
        <v>3450</v>
      </c>
      <c r="E355" t="s">
        <v>3451</v>
      </c>
      <c r="F355" t="s">
        <v>50</v>
      </c>
      <c r="G355" t="s">
        <v>28</v>
      </c>
      <c r="H355" t="s">
        <v>28</v>
      </c>
      <c r="I355" t="s">
        <v>806</v>
      </c>
    </row>
    <row r="356" spans="1:9" ht="11.25" customHeight="1">
      <c r="A356" t="s">
        <v>2246</v>
      </c>
      <c r="B356" t="s">
        <v>16</v>
      </c>
      <c r="C356" t="s">
        <v>3452</v>
      </c>
      <c r="D356" t="s">
        <v>3453</v>
      </c>
      <c r="E356" t="s">
        <v>3454</v>
      </c>
      <c r="F356" t="s">
        <v>2250</v>
      </c>
      <c r="G356" t="s">
        <v>28</v>
      </c>
      <c r="H356" t="s">
        <v>28</v>
      </c>
      <c r="I356" t="s">
        <v>806</v>
      </c>
    </row>
    <row r="357" spans="1:9" ht="11.25" customHeight="1">
      <c r="A357" t="s">
        <v>2246</v>
      </c>
      <c r="B357" t="s">
        <v>16</v>
      </c>
      <c r="C357" t="s">
        <v>3455</v>
      </c>
      <c r="D357" t="s">
        <v>3456</v>
      </c>
      <c r="E357" t="s">
        <v>3457</v>
      </c>
      <c r="F357" t="s">
        <v>2303</v>
      </c>
      <c r="G357" t="s">
        <v>28</v>
      </c>
      <c r="H357" t="s">
        <v>28</v>
      </c>
      <c r="I357" t="s">
        <v>806</v>
      </c>
    </row>
    <row r="358" spans="1:9" ht="11.25" customHeight="1">
      <c r="A358" t="s">
        <v>2246</v>
      </c>
      <c r="B358" t="s">
        <v>16</v>
      </c>
      <c r="C358" t="s">
        <v>3458</v>
      </c>
      <c r="D358" t="s">
        <v>3459</v>
      </c>
      <c r="E358" t="s">
        <v>3460</v>
      </c>
      <c r="F358" t="s">
        <v>2250</v>
      </c>
      <c r="G358" t="s">
        <v>28</v>
      </c>
      <c r="H358" t="s">
        <v>28</v>
      </c>
      <c r="I358" t="s">
        <v>806</v>
      </c>
    </row>
    <row r="359" spans="1:9" ht="11.25" customHeight="1">
      <c r="A359" t="s">
        <v>2246</v>
      </c>
      <c r="B359" t="s">
        <v>16</v>
      </c>
      <c r="C359" t="s">
        <v>3461</v>
      </c>
      <c r="D359" t="s">
        <v>3462</v>
      </c>
      <c r="E359" t="s">
        <v>3463</v>
      </c>
      <c r="F359" t="s">
        <v>2303</v>
      </c>
      <c r="G359" t="s">
        <v>28</v>
      </c>
      <c r="H359" t="s">
        <v>28</v>
      </c>
      <c r="I359" t="s">
        <v>806</v>
      </c>
    </row>
    <row r="360" spans="1:9" ht="11.25" customHeight="1">
      <c r="A360" t="s">
        <v>2246</v>
      </c>
      <c r="B360" t="s">
        <v>16</v>
      </c>
      <c r="C360" t="s">
        <v>3464</v>
      </c>
      <c r="D360" t="s">
        <v>3465</v>
      </c>
      <c r="E360" t="s">
        <v>3466</v>
      </c>
      <c r="F360" t="s">
        <v>2343</v>
      </c>
      <c r="G360" t="s">
        <v>28</v>
      </c>
      <c r="H360" t="s">
        <v>28</v>
      </c>
      <c r="I360" t="s">
        <v>806</v>
      </c>
    </row>
    <row r="361" spans="1:9" ht="11.25" customHeight="1">
      <c r="A361" t="s">
        <v>2246</v>
      </c>
      <c r="B361" t="s">
        <v>16</v>
      </c>
      <c r="C361" t="s">
        <v>3467</v>
      </c>
      <c r="D361" t="s">
        <v>3468</v>
      </c>
      <c r="E361" t="s">
        <v>2258</v>
      </c>
      <c r="F361" t="s">
        <v>2462</v>
      </c>
      <c r="G361" t="s">
        <v>28</v>
      </c>
      <c r="H361" t="s">
        <v>28</v>
      </c>
      <c r="I361" t="s">
        <v>806</v>
      </c>
    </row>
    <row r="362" spans="1:9" ht="11.25" customHeight="1">
      <c r="A362" t="s">
        <v>2246</v>
      </c>
      <c r="B362" t="s">
        <v>16</v>
      </c>
      <c r="C362" t="s">
        <v>3469</v>
      </c>
      <c r="D362" t="s">
        <v>3470</v>
      </c>
      <c r="E362" t="s">
        <v>2309</v>
      </c>
      <c r="F362" t="s">
        <v>3471</v>
      </c>
      <c r="G362" t="s">
        <v>2314</v>
      </c>
      <c r="H362" t="s">
        <v>28</v>
      </c>
      <c r="I362" t="s">
        <v>806</v>
      </c>
    </row>
    <row r="363" spans="1:9" ht="11.25" customHeight="1">
      <c r="A363" t="s">
        <v>2246</v>
      </c>
      <c r="B363" t="s">
        <v>16</v>
      </c>
      <c r="C363" t="s">
        <v>3472</v>
      </c>
      <c r="D363" t="s">
        <v>3473</v>
      </c>
      <c r="E363" t="s">
        <v>3474</v>
      </c>
      <c r="F363" t="s">
        <v>2343</v>
      </c>
      <c r="G363" t="s">
        <v>28</v>
      </c>
      <c r="H363" t="s">
        <v>28</v>
      </c>
      <c r="I363" t="s">
        <v>806</v>
      </c>
    </row>
    <row r="364" spans="1:9" ht="11.25" customHeight="1">
      <c r="A364" t="s">
        <v>2246</v>
      </c>
      <c r="B364" t="s">
        <v>16</v>
      </c>
      <c r="C364" t="s">
        <v>3475</v>
      </c>
      <c r="D364" t="s">
        <v>3476</v>
      </c>
      <c r="E364" t="s">
        <v>3477</v>
      </c>
      <c r="F364" t="s">
        <v>2303</v>
      </c>
      <c r="G364" t="s">
        <v>28</v>
      </c>
      <c r="H364" t="s">
        <v>28</v>
      </c>
      <c r="I364" t="s">
        <v>806</v>
      </c>
    </row>
    <row r="365" spans="1:9" ht="11.25" customHeight="1">
      <c r="A365" t="s">
        <v>2246</v>
      </c>
      <c r="B365" t="s">
        <v>16</v>
      </c>
      <c r="C365" t="s">
        <v>3478</v>
      </c>
      <c r="D365" t="s">
        <v>3479</v>
      </c>
      <c r="E365" t="s">
        <v>3480</v>
      </c>
      <c r="F365" t="s">
        <v>2250</v>
      </c>
      <c r="G365" t="s">
        <v>28</v>
      </c>
      <c r="H365" t="s">
        <v>28</v>
      </c>
      <c r="I365" t="s">
        <v>806</v>
      </c>
    </row>
    <row r="366" spans="1:9" ht="11.25" customHeight="1">
      <c r="A366" t="s">
        <v>2246</v>
      </c>
      <c r="B366" t="s">
        <v>16</v>
      </c>
      <c r="C366" t="s">
        <v>3481</v>
      </c>
      <c r="D366" t="s">
        <v>3482</v>
      </c>
      <c r="E366" t="s">
        <v>3483</v>
      </c>
      <c r="F366" t="s">
        <v>2384</v>
      </c>
      <c r="G366" t="s">
        <v>28</v>
      </c>
      <c r="H366" t="s">
        <v>28</v>
      </c>
      <c r="I366" t="s">
        <v>806</v>
      </c>
    </row>
    <row r="367" spans="1:9" ht="11.25" customHeight="1">
      <c r="A367" t="s">
        <v>2246</v>
      </c>
      <c r="B367" t="s">
        <v>16</v>
      </c>
      <c r="C367" t="s">
        <v>3484</v>
      </c>
      <c r="D367" t="s">
        <v>3485</v>
      </c>
      <c r="E367" t="s">
        <v>3486</v>
      </c>
      <c r="F367" t="s">
        <v>2325</v>
      </c>
      <c r="G367" t="s">
        <v>28</v>
      </c>
      <c r="H367" t="s">
        <v>28</v>
      </c>
      <c r="I367" t="s">
        <v>806</v>
      </c>
    </row>
    <row r="368" spans="1:9" ht="11.25" customHeight="1">
      <c r="A368" t="s">
        <v>2246</v>
      </c>
      <c r="B368" t="s">
        <v>16</v>
      </c>
      <c r="C368" t="s">
        <v>3487</v>
      </c>
      <c r="D368" t="s">
        <v>3488</v>
      </c>
      <c r="E368" t="s">
        <v>3489</v>
      </c>
      <c r="F368" t="s">
        <v>2582</v>
      </c>
      <c r="G368" t="s">
        <v>28</v>
      </c>
      <c r="H368" t="s">
        <v>28</v>
      </c>
      <c r="I368" t="s">
        <v>806</v>
      </c>
    </row>
    <row r="369" spans="1:9" ht="11.25" customHeight="1">
      <c r="A369" t="s">
        <v>2246</v>
      </c>
      <c r="B369" t="s">
        <v>16</v>
      </c>
      <c r="C369" t="s">
        <v>3490</v>
      </c>
      <c r="D369" t="s">
        <v>3491</v>
      </c>
      <c r="E369" t="s">
        <v>3492</v>
      </c>
      <c r="F369" t="s">
        <v>2332</v>
      </c>
      <c r="G369" t="s">
        <v>3493</v>
      </c>
      <c r="H369" t="s">
        <v>28</v>
      </c>
      <c r="I369" t="s">
        <v>806</v>
      </c>
    </row>
    <row r="370" spans="1:9" ht="11.25" customHeight="1">
      <c r="A370" t="s">
        <v>2246</v>
      </c>
      <c r="B370" t="s">
        <v>16</v>
      </c>
      <c r="C370" t="s">
        <v>3494</v>
      </c>
      <c r="D370" t="s">
        <v>3495</v>
      </c>
      <c r="E370" t="s">
        <v>3496</v>
      </c>
      <c r="F370" t="s">
        <v>50</v>
      </c>
      <c r="G370" t="s">
        <v>28</v>
      </c>
      <c r="H370" t="s">
        <v>28</v>
      </c>
      <c r="I370" t="s">
        <v>806</v>
      </c>
    </row>
    <row r="371" spans="1:9" ht="11.25" customHeight="1">
      <c r="A371" t="s">
        <v>2246</v>
      </c>
      <c r="B371" t="s">
        <v>16</v>
      </c>
      <c r="C371" t="s">
        <v>3497</v>
      </c>
      <c r="D371" t="s">
        <v>3498</v>
      </c>
      <c r="E371" t="s">
        <v>3499</v>
      </c>
      <c r="F371" t="s">
        <v>2303</v>
      </c>
      <c r="G371" t="s">
        <v>3500</v>
      </c>
      <c r="H371" t="s">
        <v>28</v>
      </c>
      <c r="I371" t="s">
        <v>806</v>
      </c>
    </row>
    <row r="372" spans="1:9" ht="11.25" customHeight="1">
      <c r="A372" t="s">
        <v>2246</v>
      </c>
      <c r="B372" t="s">
        <v>16</v>
      </c>
      <c r="C372" t="s">
        <v>3501</v>
      </c>
      <c r="D372" t="s">
        <v>3502</v>
      </c>
      <c r="E372" t="s">
        <v>3503</v>
      </c>
      <c r="F372" t="s">
        <v>2303</v>
      </c>
      <c r="G372" t="s">
        <v>28</v>
      </c>
      <c r="H372" t="s">
        <v>28</v>
      </c>
      <c r="I372" t="s">
        <v>806</v>
      </c>
    </row>
    <row r="373" spans="1:9" ht="11.25" customHeight="1">
      <c r="A373" t="s">
        <v>2246</v>
      </c>
      <c r="B373" t="s">
        <v>16</v>
      </c>
      <c r="C373" t="s">
        <v>3504</v>
      </c>
      <c r="D373" t="s">
        <v>3505</v>
      </c>
      <c r="E373" t="s">
        <v>3506</v>
      </c>
      <c r="F373" t="s">
        <v>2325</v>
      </c>
      <c r="G373" t="s">
        <v>28</v>
      </c>
      <c r="H373" t="s">
        <v>28</v>
      </c>
      <c r="I373" t="s">
        <v>806</v>
      </c>
    </row>
    <row r="374" spans="1:9" ht="11.25" customHeight="1">
      <c r="A374" t="s">
        <v>2246</v>
      </c>
      <c r="B374" t="s">
        <v>16</v>
      </c>
      <c r="C374" t="s">
        <v>3507</v>
      </c>
      <c r="D374" t="s">
        <v>3508</v>
      </c>
      <c r="E374" t="s">
        <v>3509</v>
      </c>
      <c r="F374" t="s">
        <v>2724</v>
      </c>
      <c r="G374" t="s">
        <v>3510</v>
      </c>
      <c r="H374" t="s">
        <v>28</v>
      </c>
      <c r="I374" t="s">
        <v>806</v>
      </c>
    </row>
    <row r="375" spans="1:9" ht="11.25" customHeight="1">
      <c r="A375" t="s">
        <v>2246</v>
      </c>
      <c r="B375" t="s">
        <v>16</v>
      </c>
      <c r="C375" t="s">
        <v>3511</v>
      </c>
      <c r="D375" t="s">
        <v>3512</v>
      </c>
      <c r="E375" t="s">
        <v>3513</v>
      </c>
      <c r="F375" t="s">
        <v>2325</v>
      </c>
      <c r="G375" t="s">
        <v>3514</v>
      </c>
      <c r="H375" t="s">
        <v>28</v>
      </c>
      <c r="I375" t="s">
        <v>806</v>
      </c>
    </row>
    <row r="376" spans="1:9" ht="11.25" customHeight="1">
      <c r="A376" t="s">
        <v>2246</v>
      </c>
      <c r="B376" t="s">
        <v>16</v>
      </c>
      <c r="C376" t="s">
        <v>3515</v>
      </c>
      <c r="D376" t="s">
        <v>3516</v>
      </c>
      <c r="E376" t="s">
        <v>3517</v>
      </c>
      <c r="F376" t="s">
        <v>2400</v>
      </c>
      <c r="G376" t="s">
        <v>28</v>
      </c>
      <c r="H376" t="s">
        <v>28</v>
      </c>
      <c r="I376" t="s">
        <v>806</v>
      </c>
    </row>
    <row r="377" spans="1:9" ht="11.25" customHeight="1">
      <c r="A377" t="s">
        <v>2246</v>
      </c>
      <c r="B377" t="s">
        <v>16</v>
      </c>
      <c r="C377" t="s">
        <v>13</v>
      </c>
      <c r="D377" t="s">
        <v>45</v>
      </c>
      <c r="E377" t="s">
        <v>48</v>
      </c>
      <c r="F377" t="s">
        <v>50</v>
      </c>
      <c r="G377" t="s">
        <v>3518</v>
      </c>
      <c r="H377" t="s">
        <v>28</v>
      </c>
      <c r="I377" t="s">
        <v>806</v>
      </c>
    </row>
    <row r="378" spans="1:9" ht="11.25" customHeight="1">
      <c r="A378" t="s">
        <v>2246</v>
      </c>
      <c r="B378" t="s">
        <v>16</v>
      </c>
      <c r="C378" t="s">
        <v>3519</v>
      </c>
      <c r="D378" t="s">
        <v>3520</v>
      </c>
      <c r="E378" t="s">
        <v>3521</v>
      </c>
      <c r="F378" t="s">
        <v>50</v>
      </c>
      <c r="G378" t="s">
        <v>28</v>
      </c>
      <c r="H378" t="s">
        <v>28</v>
      </c>
      <c r="I378" t="s">
        <v>806</v>
      </c>
    </row>
    <row r="379" spans="1:9" ht="11.25" customHeight="1">
      <c r="A379" t="s">
        <v>2246</v>
      </c>
      <c r="B379" t="s">
        <v>16</v>
      </c>
      <c r="C379" t="s">
        <v>3522</v>
      </c>
      <c r="D379" t="s">
        <v>3523</v>
      </c>
      <c r="E379" t="s">
        <v>3524</v>
      </c>
      <c r="F379" t="s">
        <v>2384</v>
      </c>
      <c r="G379" t="s">
        <v>28</v>
      </c>
      <c r="H379" t="s">
        <v>28</v>
      </c>
      <c r="I379" t="s">
        <v>806</v>
      </c>
    </row>
    <row r="380" spans="1:9" ht="11.25" customHeight="1">
      <c r="A380" t="s">
        <v>2246</v>
      </c>
      <c r="B380" t="s">
        <v>16</v>
      </c>
      <c r="C380" t="s">
        <v>3525</v>
      </c>
      <c r="D380" t="s">
        <v>3526</v>
      </c>
      <c r="E380" t="s">
        <v>3527</v>
      </c>
      <c r="F380" t="s">
        <v>2325</v>
      </c>
      <c r="G380" t="s">
        <v>28</v>
      </c>
      <c r="H380" t="s">
        <v>28</v>
      </c>
      <c r="I380" t="s">
        <v>806</v>
      </c>
    </row>
    <row r="381" spans="1:9" ht="11.25" customHeight="1">
      <c r="A381" t="s">
        <v>2246</v>
      </c>
      <c r="B381" t="s">
        <v>16</v>
      </c>
      <c r="C381" t="s">
        <v>3528</v>
      </c>
      <c r="D381" t="s">
        <v>3529</v>
      </c>
      <c r="E381" t="s">
        <v>3530</v>
      </c>
      <c r="F381" t="s">
        <v>3531</v>
      </c>
      <c r="G381" t="s">
        <v>28</v>
      </c>
      <c r="H381" t="s">
        <v>28</v>
      </c>
      <c r="I381" t="s">
        <v>806</v>
      </c>
    </row>
    <row r="382" spans="1:9" ht="11.25" customHeight="1">
      <c r="A382" t="s">
        <v>2246</v>
      </c>
      <c r="B382" t="s">
        <v>16</v>
      </c>
      <c r="C382" t="s">
        <v>3532</v>
      </c>
      <c r="D382" t="s">
        <v>3533</v>
      </c>
      <c r="E382" t="s">
        <v>3530</v>
      </c>
      <c r="F382" t="s">
        <v>2325</v>
      </c>
      <c r="G382" t="s">
        <v>28</v>
      </c>
      <c r="H382" t="s">
        <v>28</v>
      </c>
      <c r="I382" t="s">
        <v>806</v>
      </c>
    </row>
    <row r="383" spans="1:9" ht="11.25" customHeight="1">
      <c r="A383" t="s">
        <v>2246</v>
      </c>
      <c r="B383" t="s">
        <v>16</v>
      </c>
      <c r="C383" t="s">
        <v>3534</v>
      </c>
      <c r="D383" t="s">
        <v>3535</v>
      </c>
      <c r="E383" t="s">
        <v>3530</v>
      </c>
      <c r="F383" t="s">
        <v>3536</v>
      </c>
      <c r="G383" t="s">
        <v>28</v>
      </c>
      <c r="H383" t="s">
        <v>28</v>
      </c>
      <c r="I383" t="s">
        <v>806</v>
      </c>
    </row>
    <row r="384" spans="1:9" ht="11.25" customHeight="1">
      <c r="A384" t="s">
        <v>2246</v>
      </c>
      <c r="B384" t="s">
        <v>16</v>
      </c>
      <c r="C384" t="s">
        <v>3537</v>
      </c>
      <c r="D384" t="s">
        <v>3538</v>
      </c>
      <c r="E384" t="s">
        <v>3530</v>
      </c>
      <c r="F384" t="s">
        <v>3539</v>
      </c>
      <c r="G384" t="s">
        <v>28</v>
      </c>
      <c r="H384" t="s">
        <v>28</v>
      </c>
      <c r="I384" t="s">
        <v>806</v>
      </c>
    </row>
    <row r="385" spans="1:9" ht="11.25" customHeight="1">
      <c r="A385" t="s">
        <v>2246</v>
      </c>
      <c r="B385" t="s">
        <v>16</v>
      </c>
      <c r="C385" t="s">
        <v>3540</v>
      </c>
      <c r="D385" t="s">
        <v>3541</v>
      </c>
      <c r="E385" t="s">
        <v>3530</v>
      </c>
      <c r="F385" t="s">
        <v>3542</v>
      </c>
      <c r="G385" t="s">
        <v>28</v>
      </c>
      <c r="H385" t="s">
        <v>28</v>
      </c>
      <c r="I385" t="s">
        <v>806</v>
      </c>
    </row>
    <row r="386" spans="1:9" ht="11.25" customHeight="1">
      <c r="A386" t="s">
        <v>2246</v>
      </c>
      <c r="B386" t="s">
        <v>16</v>
      </c>
      <c r="C386" t="s">
        <v>3543</v>
      </c>
      <c r="D386" t="s">
        <v>3544</v>
      </c>
      <c r="E386" t="s">
        <v>3530</v>
      </c>
      <c r="F386" t="s">
        <v>3545</v>
      </c>
      <c r="G386" t="s">
        <v>28</v>
      </c>
      <c r="H386" t="s">
        <v>28</v>
      </c>
      <c r="I386" t="s">
        <v>806</v>
      </c>
    </row>
    <row r="387" spans="1:9" ht="11.25" customHeight="1">
      <c r="A387" t="s">
        <v>2246</v>
      </c>
      <c r="B387" t="s">
        <v>16</v>
      </c>
      <c r="C387" t="s">
        <v>3546</v>
      </c>
      <c r="D387" t="s">
        <v>3547</v>
      </c>
      <c r="E387" t="s">
        <v>3530</v>
      </c>
      <c r="F387" t="s">
        <v>3548</v>
      </c>
      <c r="G387" t="s">
        <v>28</v>
      </c>
      <c r="H387" t="s">
        <v>28</v>
      </c>
      <c r="I387" t="s">
        <v>806</v>
      </c>
    </row>
    <row r="388" spans="1:9" ht="11.25" customHeight="1">
      <c r="A388" t="s">
        <v>2246</v>
      </c>
      <c r="B388" t="s">
        <v>16</v>
      </c>
      <c r="C388" t="s">
        <v>3549</v>
      </c>
      <c r="D388" t="s">
        <v>3550</v>
      </c>
      <c r="E388" t="s">
        <v>3530</v>
      </c>
      <c r="F388" t="s">
        <v>3551</v>
      </c>
      <c r="G388" t="s">
        <v>28</v>
      </c>
      <c r="H388" t="s">
        <v>28</v>
      </c>
      <c r="I388" t="s">
        <v>806</v>
      </c>
    </row>
    <row r="389" spans="1:9" ht="11.25" customHeight="1">
      <c r="A389" t="s">
        <v>2246</v>
      </c>
      <c r="B389" t="s">
        <v>16</v>
      </c>
      <c r="C389" t="s">
        <v>3552</v>
      </c>
      <c r="D389" t="s">
        <v>3553</v>
      </c>
      <c r="E389" t="s">
        <v>3530</v>
      </c>
      <c r="F389" t="s">
        <v>3554</v>
      </c>
      <c r="G389" t="s">
        <v>28</v>
      </c>
      <c r="H389" t="s">
        <v>28</v>
      </c>
      <c r="I389" t="s">
        <v>806</v>
      </c>
    </row>
    <row r="390" spans="1:9" ht="11.25" customHeight="1">
      <c r="A390" t="s">
        <v>2246</v>
      </c>
      <c r="B390" t="s">
        <v>16</v>
      </c>
      <c r="C390" t="s">
        <v>3555</v>
      </c>
      <c r="D390" t="s">
        <v>3556</v>
      </c>
      <c r="E390" t="s">
        <v>3530</v>
      </c>
      <c r="F390" t="s">
        <v>3557</v>
      </c>
      <c r="G390" t="s">
        <v>28</v>
      </c>
      <c r="H390" t="s">
        <v>28</v>
      </c>
      <c r="I390" t="s">
        <v>806</v>
      </c>
    </row>
    <row r="391" spans="1:9" ht="11.25" customHeight="1">
      <c r="A391" t="s">
        <v>2246</v>
      </c>
      <c r="B391" t="s">
        <v>16</v>
      </c>
      <c r="C391" t="s">
        <v>3558</v>
      </c>
      <c r="D391" t="s">
        <v>3559</v>
      </c>
      <c r="E391" t="s">
        <v>3530</v>
      </c>
      <c r="F391" t="s">
        <v>3560</v>
      </c>
      <c r="G391" t="s">
        <v>28</v>
      </c>
      <c r="H391" t="s">
        <v>28</v>
      </c>
      <c r="I391" t="s">
        <v>806</v>
      </c>
    </row>
    <row r="392" spans="1:9" ht="11.25" customHeight="1">
      <c r="A392" t="s">
        <v>2246</v>
      </c>
      <c r="B392" t="s">
        <v>16</v>
      </c>
      <c r="C392" t="s">
        <v>3561</v>
      </c>
      <c r="D392" t="s">
        <v>3562</v>
      </c>
      <c r="E392" t="s">
        <v>3563</v>
      </c>
      <c r="F392" t="s">
        <v>2668</v>
      </c>
      <c r="G392" t="s">
        <v>3564</v>
      </c>
      <c r="H392" t="s">
        <v>28</v>
      </c>
      <c r="I392" t="s">
        <v>806</v>
      </c>
    </row>
    <row r="393" spans="1:9" ht="11.25" customHeight="1">
      <c r="A393" t="s">
        <v>2246</v>
      </c>
      <c r="B393" t="s">
        <v>16</v>
      </c>
      <c r="C393" t="s">
        <v>3565</v>
      </c>
      <c r="D393" t="s">
        <v>3566</v>
      </c>
      <c r="E393" t="s">
        <v>3563</v>
      </c>
      <c r="F393" t="s">
        <v>3567</v>
      </c>
      <c r="G393" t="s">
        <v>3564</v>
      </c>
      <c r="H393" t="s">
        <v>28</v>
      </c>
      <c r="I393" t="s">
        <v>806</v>
      </c>
    </row>
    <row r="394" spans="1:9" ht="11.25" customHeight="1">
      <c r="A394" t="s">
        <v>2246</v>
      </c>
      <c r="B394" t="s">
        <v>16</v>
      </c>
      <c r="C394" t="s">
        <v>3568</v>
      </c>
      <c r="D394" t="s">
        <v>3569</v>
      </c>
      <c r="E394" t="s">
        <v>3570</v>
      </c>
      <c r="F394" t="s">
        <v>2332</v>
      </c>
      <c r="G394" t="s">
        <v>28</v>
      </c>
      <c r="H394" t="s">
        <v>28</v>
      </c>
      <c r="I394" t="s">
        <v>806</v>
      </c>
    </row>
    <row r="395" spans="1:9" ht="11.25" customHeight="1">
      <c r="A395" t="s">
        <v>2246</v>
      </c>
      <c r="B395" t="s">
        <v>16</v>
      </c>
      <c r="C395" t="s">
        <v>3571</v>
      </c>
      <c r="D395" t="s">
        <v>3572</v>
      </c>
      <c r="E395" t="s">
        <v>3573</v>
      </c>
      <c r="F395" t="s">
        <v>50</v>
      </c>
      <c r="G395" t="s">
        <v>28</v>
      </c>
      <c r="H395" t="s">
        <v>28</v>
      </c>
      <c r="I395" t="s">
        <v>806</v>
      </c>
    </row>
    <row r="396" spans="1:9" ht="11.25" customHeight="1">
      <c r="A396" t="s">
        <v>2246</v>
      </c>
      <c r="B396" t="s">
        <v>16</v>
      </c>
      <c r="C396" t="s">
        <v>3574</v>
      </c>
      <c r="D396" t="s">
        <v>3575</v>
      </c>
      <c r="E396" t="s">
        <v>3576</v>
      </c>
      <c r="F396" t="s">
        <v>3577</v>
      </c>
      <c r="G396" t="s">
        <v>28</v>
      </c>
      <c r="H396" t="s">
        <v>28</v>
      </c>
      <c r="I396" t="s">
        <v>806</v>
      </c>
    </row>
    <row r="397" spans="1:9" ht="11.25" customHeight="1">
      <c r="A397" t="s">
        <v>2246</v>
      </c>
      <c r="B397" t="s">
        <v>16</v>
      </c>
      <c r="C397" t="s">
        <v>3578</v>
      </c>
      <c r="D397" t="s">
        <v>3579</v>
      </c>
      <c r="E397" t="s">
        <v>3580</v>
      </c>
      <c r="F397" t="s">
        <v>3581</v>
      </c>
      <c r="G397" t="s">
        <v>28</v>
      </c>
      <c r="H397" t="s">
        <v>28</v>
      </c>
      <c r="I397" t="s">
        <v>806</v>
      </c>
    </row>
    <row r="398" spans="1:9" ht="11.25" customHeight="1">
      <c r="A398" t="s">
        <v>2246</v>
      </c>
      <c r="B398" t="s">
        <v>16</v>
      </c>
      <c r="C398" t="s">
        <v>3582</v>
      </c>
      <c r="D398" t="s">
        <v>3583</v>
      </c>
      <c r="E398" t="s">
        <v>3584</v>
      </c>
      <c r="F398" t="s">
        <v>2384</v>
      </c>
      <c r="G398" t="s">
        <v>3585</v>
      </c>
      <c r="H398" t="s">
        <v>28</v>
      </c>
      <c r="I398" t="s">
        <v>806</v>
      </c>
    </row>
    <row r="399" spans="1:9" ht="11.25" customHeight="1">
      <c r="A399" t="s">
        <v>2246</v>
      </c>
      <c r="B399" t="s">
        <v>16</v>
      </c>
      <c r="C399" t="s">
        <v>3586</v>
      </c>
      <c r="D399" t="s">
        <v>3587</v>
      </c>
      <c r="E399" t="s">
        <v>3588</v>
      </c>
      <c r="F399" t="s">
        <v>2268</v>
      </c>
      <c r="G399" t="s">
        <v>28</v>
      </c>
      <c r="H399" t="s">
        <v>28</v>
      </c>
      <c r="I399" t="s">
        <v>806</v>
      </c>
    </row>
    <row r="400" spans="1:9" ht="11.25" customHeight="1">
      <c r="A400" t="s">
        <v>2246</v>
      </c>
      <c r="B400" t="s">
        <v>16</v>
      </c>
      <c r="C400" t="s">
        <v>3589</v>
      </c>
      <c r="D400" t="s">
        <v>3590</v>
      </c>
      <c r="E400" t="s">
        <v>3591</v>
      </c>
      <c r="F400" t="s">
        <v>3592</v>
      </c>
      <c r="G400" t="s">
        <v>28</v>
      </c>
      <c r="H400" t="s">
        <v>28</v>
      </c>
      <c r="I400" t="s">
        <v>806</v>
      </c>
    </row>
    <row r="401" spans="1:9" ht="11.25" customHeight="1">
      <c r="A401" t="s">
        <v>2246</v>
      </c>
      <c r="B401" t="s">
        <v>16</v>
      </c>
      <c r="C401" t="s">
        <v>3593</v>
      </c>
      <c r="D401" t="s">
        <v>3594</v>
      </c>
      <c r="E401" t="s">
        <v>3595</v>
      </c>
      <c r="F401" t="s">
        <v>2250</v>
      </c>
      <c r="G401" t="s">
        <v>2725</v>
      </c>
      <c r="H401" t="s">
        <v>28</v>
      </c>
      <c r="I401" t="s">
        <v>806</v>
      </c>
    </row>
    <row r="402" spans="1:9" ht="11.25" customHeight="1">
      <c r="A402" t="s">
        <v>2246</v>
      </c>
      <c r="B402" t="s">
        <v>16</v>
      </c>
      <c r="C402" t="s">
        <v>3596</v>
      </c>
      <c r="D402" t="s">
        <v>3597</v>
      </c>
      <c r="E402" t="s">
        <v>3598</v>
      </c>
      <c r="F402" t="s">
        <v>2360</v>
      </c>
      <c r="G402" t="s">
        <v>28</v>
      </c>
      <c r="H402" t="s">
        <v>28</v>
      </c>
      <c r="I402" t="s">
        <v>806</v>
      </c>
    </row>
    <row r="403" spans="1:9" ht="11.25" customHeight="1">
      <c r="A403" t="s">
        <v>2246</v>
      </c>
      <c r="B403" t="s">
        <v>16</v>
      </c>
      <c r="C403" t="s">
        <v>3599</v>
      </c>
      <c r="D403" t="s">
        <v>3600</v>
      </c>
      <c r="E403" t="s">
        <v>3601</v>
      </c>
      <c r="F403" t="s">
        <v>2325</v>
      </c>
      <c r="G403" t="s">
        <v>3056</v>
      </c>
      <c r="H403" t="s">
        <v>28</v>
      </c>
      <c r="I403" t="s">
        <v>806</v>
      </c>
    </row>
    <row r="404" spans="1:9" ht="11.25" customHeight="1">
      <c r="A404" t="s">
        <v>2246</v>
      </c>
      <c r="B404" t="s">
        <v>16</v>
      </c>
      <c r="C404" t="s">
        <v>3602</v>
      </c>
      <c r="D404" t="s">
        <v>3603</v>
      </c>
      <c r="E404" t="s">
        <v>3604</v>
      </c>
      <c r="F404" t="s">
        <v>2250</v>
      </c>
      <c r="G404" t="s">
        <v>3605</v>
      </c>
      <c r="H404" t="s">
        <v>28</v>
      </c>
      <c r="I404" t="s">
        <v>806</v>
      </c>
    </row>
    <row r="405" spans="1:9" ht="11.25" customHeight="1">
      <c r="A405" t="s">
        <v>2246</v>
      </c>
      <c r="B405" t="s">
        <v>16</v>
      </c>
      <c r="C405" t="s">
        <v>3606</v>
      </c>
      <c r="D405" t="s">
        <v>3607</v>
      </c>
      <c r="E405" t="s">
        <v>3608</v>
      </c>
      <c r="F405" t="s">
        <v>3609</v>
      </c>
      <c r="G405" t="s">
        <v>28</v>
      </c>
      <c r="H405" t="s">
        <v>28</v>
      </c>
      <c r="I405" t="s">
        <v>806</v>
      </c>
    </row>
    <row r="406" spans="1:9" ht="11.25" customHeight="1">
      <c r="A406" t="s">
        <v>2246</v>
      </c>
      <c r="B406" t="s">
        <v>16</v>
      </c>
      <c r="C406" t="s">
        <v>3610</v>
      </c>
      <c r="D406" t="s">
        <v>3611</v>
      </c>
      <c r="E406" t="s">
        <v>3612</v>
      </c>
      <c r="F406" t="s">
        <v>2332</v>
      </c>
      <c r="G406" t="s">
        <v>3613</v>
      </c>
      <c r="H406" t="s">
        <v>28</v>
      </c>
      <c r="I406" t="s">
        <v>806</v>
      </c>
    </row>
    <row r="407" spans="1:9" ht="11.25" customHeight="1">
      <c r="A407" t="s">
        <v>2246</v>
      </c>
      <c r="B407" t="s">
        <v>16</v>
      </c>
      <c r="C407" t="s">
        <v>3614</v>
      </c>
      <c r="D407" t="s">
        <v>3615</v>
      </c>
      <c r="E407" t="s">
        <v>3616</v>
      </c>
      <c r="F407" t="s">
        <v>2250</v>
      </c>
      <c r="G407" t="s">
        <v>28</v>
      </c>
      <c r="H407" t="s">
        <v>28</v>
      </c>
      <c r="I407" t="s">
        <v>806</v>
      </c>
    </row>
    <row r="408" spans="1:9" ht="11.25" customHeight="1">
      <c r="A408" t="s">
        <v>2246</v>
      </c>
      <c r="B408" t="s">
        <v>16</v>
      </c>
      <c r="C408" t="s">
        <v>3617</v>
      </c>
      <c r="D408" t="s">
        <v>3618</v>
      </c>
      <c r="E408" t="s">
        <v>3619</v>
      </c>
      <c r="F408" t="s">
        <v>3620</v>
      </c>
      <c r="G408" t="s">
        <v>28</v>
      </c>
      <c r="H408" t="s">
        <v>28</v>
      </c>
      <c r="I408" t="s">
        <v>806</v>
      </c>
    </row>
    <row r="409" spans="1:9" ht="11.25" customHeight="1">
      <c r="A409" t="s">
        <v>2246</v>
      </c>
      <c r="B409" t="s">
        <v>16</v>
      </c>
      <c r="C409" t="s">
        <v>3621</v>
      </c>
      <c r="D409" t="s">
        <v>3622</v>
      </c>
      <c r="E409" t="s">
        <v>3623</v>
      </c>
      <c r="F409" t="s">
        <v>2384</v>
      </c>
      <c r="G409" t="s">
        <v>28</v>
      </c>
      <c r="H409" t="s">
        <v>28</v>
      </c>
      <c r="I409" t="s">
        <v>806</v>
      </c>
    </row>
    <row r="410" spans="1:9" ht="11.25" customHeight="1">
      <c r="A410" t="s">
        <v>2246</v>
      </c>
      <c r="B410" t="s">
        <v>16</v>
      </c>
      <c r="C410" t="s">
        <v>3624</v>
      </c>
      <c r="D410" t="s">
        <v>3625</v>
      </c>
      <c r="E410" t="s">
        <v>3626</v>
      </c>
      <c r="F410" t="s">
        <v>2250</v>
      </c>
      <c r="G410" t="s">
        <v>28</v>
      </c>
      <c r="H410" t="s">
        <v>28</v>
      </c>
      <c r="I410" t="s">
        <v>806</v>
      </c>
    </row>
    <row r="411" spans="1:9" ht="11.25" customHeight="1">
      <c r="A411" t="s">
        <v>2246</v>
      </c>
      <c r="B411" t="s">
        <v>16</v>
      </c>
      <c r="C411" t="s">
        <v>3627</v>
      </c>
      <c r="D411" t="s">
        <v>3628</v>
      </c>
      <c r="E411" t="s">
        <v>3629</v>
      </c>
      <c r="F411" t="s">
        <v>2325</v>
      </c>
      <c r="G411" t="s">
        <v>28</v>
      </c>
      <c r="H411" t="s">
        <v>28</v>
      </c>
      <c r="I411" t="s">
        <v>806</v>
      </c>
    </row>
    <row r="412" spans="1:9" ht="11.25" customHeight="1">
      <c r="A412" t="s">
        <v>2246</v>
      </c>
      <c r="B412" t="s">
        <v>16</v>
      </c>
      <c r="C412" t="s">
        <v>3630</v>
      </c>
      <c r="D412" t="s">
        <v>3631</v>
      </c>
      <c r="E412" t="s">
        <v>3632</v>
      </c>
      <c r="F412" t="s">
        <v>2560</v>
      </c>
      <c r="G412" t="s">
        <v>3633</v>
      </c>
      <c r="H412" t="s">
        <v>28</v>
      </c>
      <c r="I412" t="s">
        <v>806</v>
      </c>
    </row>
    <row r="413" spans="1:9" ht="11.25" customHeight="1">
      <c r="A413" t="s">
        <v>2246</v>
      </c>
      <c r="B413" t="s">
        <v>16</v>
      </c>
      <c r="C413" t="s">
        <v>3634</v>
      </c>
      <c r="D413" t="s">
        <v>3635</v>
      </c>
      <c r="E413" t="s">
        <v>3636</v>
      </c>
      <c r="F413" t="s">
        <v>2687</v>
      </c>
      <c r="G413" t="s">
        <v>28</v>
      </c>
      <c r="H413" t="s">
        <v>28</v>
      </c>
      <c r="I413" t="s">
        <v>806</v>
      </c>
    </row>
    <row r="414" spans="1:9" ht="11.25" customHeight="1">
      <c r="A414" t="s">
        <v>2246</v>
      </c>
      <c r="B414" t="s">
        <v>16</v>
      </c>
      <c r="C414" t="s">
        <v>3637</v>
      </c>
      <c r="D414" t="s">
        <v>3638</v>
      </c>
      <c r="E414" t="s">
        <v>3639</v>
      </c>
      <c r="F414" t="s">
        <v>50</v>
      </c>
      <c r="G414" t="s">
        <v>28</v>
      </c>
      <c r="H414" t="s">
        <v>28</v>
      </c>
      <c r="I414" t="s">
        <v>806</v>
      </c>
    </row>
    <row r="415" spans="1:9" ht="11.25" customHeight="1">
      <c r="A415" t="s">
        <v>2246</v>
      </c>
      <c r="B415" t="s">
        <v>16</v>
      </c>
      <c r="C415" t="s">
        <v>3640</v>
      </c>
      <c r="D415" t="s">
        <v>3641</v>
      </c>
      <c r="E415" t="s">
        <v>3642</v>
      </c>
      <c r="F415" t="s">
        <v>50</v>
      </c>
      <c r="G415" t="s">
        <v>28</v>
      </c>
      <c r="H415" t="s">
        <v>28</v>
      </c>
      <c r="I415" t="s">
        <v>806</v>
      </c>
    </row>
    <row r="416" spans="1:9" ht="11.25" customHeight="1">
      <c r="A416" t="s">
        <v>2246</v>
      </c>
      <c r="B416" t="s">
        <v>16</v>
      </c>
      <c r="C416" t="s">
        <v>3643</v>
      </c>
      <c r="D416" t="s">
        <v>3644</v>
      </c>
      <c r="E416" t="s">
        <v>3645</v>
      </c>
      <c r="F416" t="s">
        <v>2325</v>
      </c>
      <c r="G416" t="s">
        <v>28</v>
      </c>
      <c r="H416" t="s">
        <v>28</v>
      </c>
      <c r="I416" t="s">
        <v>806</v>
      </c>
    </row>
    <row r="417" spans="1:9" ht="11.25" customHeight="1">
      <c r="A417" t="s">
        <v>2246</v>
      </c>
      <c r="B417" t="s">
        <v>16</v>
      </c>
      <c r="C417" t="s">
        <v>3646</v>
      </c>
      <c r="D417" t="s">
        <v>3647</v>
      </c>
      <c r="E417" t="s">
        <v>3648</v>
      </c>
      <c r="F417" t="s">
        <v>2384</v>
      </c>
      <c r="G417" t="s">
        <v>28</v>
      </c>
      <c r="H417" t="s">
        <v>28</v>
      </c>
      <c r="I417" t="s">
        <v>806</v>
      </c>
    </row>
    <row r="418" spans="1:9" ht="11.25" customHeight="1">
      <c r="A418" t="s">
        <v>2246</v>
      </c>
      <c r="B418" t="s">
        <v>16</v>
      </c>
      <c r="C418" t="s">
        <v>3649</v>
      </c>
      <c r="D418" t="s">
        <v>3650</v>
      </c>
      <c r="E418" t="s">
        <v>3651</v>
      </c>
      <c r="F418" t="s">
        <v>3652</v>
      </c>
      <c r="G418" t="s">
        <v>28</v>
      </c>
      <c r="H418" t="s">
        <v>28</v>
      </c>
      <c r="I418" t="s">
        <v>806</v>
      </c>
    </row>
    <row r="419" spans="1:9" ht="11.25" customHeight="1">
      <c r="A419" t="s">
        <v>2246</v>
      </c>
      <c r="B419" t="s">
        <v>16</v>
      </c>
      <c r="C419" t="s">
        <v>3653</v>
      </c>
      <c r="D419" t="s">
        <v>3654</v>
      </c>
      <c r="E419" t="s">
        <v>3655</v>
      </c>
      <c r="F419" t="s">
        <v>2384</v>
      </c>
      <c r="G419" t="s">
        <v>3656</v>
      </c>
      <c r="H419" t="s">
        <v>28</v>
      </c>
      <c r="I419" t="s">
        <v>806</v>
      </c>
    </row>
    <row r="420" spans="1:9" ht="11.25" customHeight="1">
      <c r="A420" t="s">
        <v>2246</v>
      </c>
      <c r="B420" t="s">
        <v>16</v>
      </c>
      <c r="C420" t="s">
        <v>3657</v>
      </c>
      <c r="D420" t="s">
        <v>3658</v>
      </c>
      <c r="E420" t="s">
        <v>3659</v>
      </c>
      <c r="F420" t="s">
        <v>2325</v>
      </c>
      <c r="G420" t="s">
        <v>3660</v>
      </c>
      <c r="H420" t="s">
        <v>28</v>
      </c>
      <c r="I420" t="s">
        <v>806</v>
      </c>
    </row>
    <row r="421" spans="1:9" ht="11.25" customHeight="1">
      <c r="A421" t="s">
        <v>2246</v>
      </c>
      <c r="B421" t="s">
        <v>16</v>
      </c>
      <c r="C421" t="s">
        <v>3661</v>
      </c>
      <c r="D421" t="s">
        <v>3662</v>
      </c>
      <c r="E421" t="s">
        <v>3663</v>
      </c>
      <c r="F421" t="s">
        <v>2360</v>
      </c>
      <c r="G421" t="s">
        <v>3664</v>
      </c>
      <c r="H421" t="s">
        <v>28</v>
      </c>
      <c r="I421" t="s">
        <v>806</v>
      </c>
    </row>
    <row r="422" spans="1:9" ht="11.25" customHeight="1">
      <c r="A422" t="s">
        <v>2246</v>
      </c>
      <c r="B422" t="s">
        <v>16</v>
      </c>
      <c r="C422" t="s">
        <v>3665</v>
      </c>
      <c r="D422" t="s">
        <v>3666</v>
      </c>
      <c r="E422" t="s">
        <v>3667</v>
      </c>
      <c r="F422" t="s">
        <v>2343</v>
      </c>
      <c r="G422" t="s">
        <v>28</v>
      </c>
      <c r="H422" t="s">
        <v>28</v>
      </c>
      <c r="I422" t="s">
        <v>806</v>
      </c>
    </row>
    <row r="423" spans="1:9" ht="11.25" customHeight="1">
      <c r="A423" t="s">
        <v>2246</v>
      </c>
      <c r="B423" t="s">
        <v>16</v>
      </c>
      <c r="C423" t="s">
        <v>3668</v>
      </c>
      <c r="D423" t="s">
        <v>3669</v>
      </c>
      <c r="E423" t="s">
        <v>3670</v>
      </c>
      <c r="F423" t="s">
        <v>3671</v>
      </c>
      <c r="G423" t="s">
        <v>28</v>
      </c>
      <c r="H423" t="s">
        <v>28</v>
      </c>
      <c r="I423" t="s">
        <v>806</v>
      </c>
    </row>
    <row r="424" spans="1:9" ht="11.25" customHeight="1">
      <c r="A424" t="s">
        <v>2246</v>
      </c>
      <c r="B424" t="s">
        <v>16</v>
      </c>
      <c r="C424" t="s">
        <v>3672</v>
      </c>
      <c r="D424" t="s">
        <v>3673</v>
      </c>
      <c r="E424" t="s">
        <v>3674</v>
      </c>
      <c r="F424" t="s">
        <v>2582</v>
      </c>
      <c r="G424" t="s">
        <v>3675</v>
      </c>
      <c r="H424" t="s">
        <v>28</v>
      </c>
      <c r="I424" t="s">
        <v>806</v>
      </c>
    </row>
    <row r="425" spans="1:9" ht="11.25" customHeight="1">
      <c r="A425" t="s">
        <v>2246</v>
      </c>
      <c r="B425" t="s">
        <v>16</v>
      </c>
      <c r="C425" t="s">
        <v>3676</v>
      </c>
      <c r="D425" t="s">
        <v>3677</v>
      </c>
      <c r="E425" t="s">
        <v>3678</v>
      </c>
      <c r="F425" t="s">
        <v>2343</v>
      </c>
      <c r="G425" t="s">
        <v>28</v>
      </c>
      <c r="H425" t="s">
        <v>28</v>
      </c>
      <c r="I425" t="s">
        <v>806</v>
      </c>
    </row>
    <row r="426" spans="1:9" ht="11.25" customHeight="1">
      <c r="A426" t="s">
        <v>2246</v>
      </c>
      <c r="B426" t="s">
        <v>16</v>
      </c>
      <c r="C426" t="s">
        <v>3679</v>
      </c>
      <c r="D426" t="s">
        <v>3680</v>
      </c>
      <c r="E426" t="s">
        <v>3681</v>
      </c>
      <c r="F426" t="s">
        <v>2582</v>
      </c>
      <c r="G426" t="s">
        <v>28</v>
      </c>
      <c r="H426" t="s">
        <v>28</v>
      </c>
      <c r="I426" t="s">
        <v>806</v>
      </c>
    </row>
    <row r="427" spans="1:9" ht="11.25" customHeight="1">
      <c r="A427" t="s">
        <v>2246</v>
      </c>
      <c r="B427" t="s">
        <v>16</v>
      </c>
      <c r="C427" t="s">
        <v>3682</v>
      </c>
      <c r="D427" t="s">
        <v>3683</v>
      </c>
      <c r="E427" t="s">
        <v>3684</v>
      </c>
      <c r="F427" t="s">
        <v>50</v>
      </c>
      <c r="G427" t="s">
        <v>28</v>
      </c>
      <c r="H427" t="s">
        <v>28</v>
      </c>
      <c r="I427" t="s">
        <v>806</v>
      </c>
    </row>
    <row r="428" spans="1:9" ht="11.25" customHeight="1">
      <c r="A428" t="s">
        <v>2246</v>
      </c>
      <c r="B428" t="s">
        <v>16</v>
      </c>
      <c r="C428" t="s">
        <v>3685</v>
      </c>
      <c r="D428" t="s">
        <v>3686</v>
      </c>
      <c r="E428" t="s">
        <v>3687</v>
      </c>
      <c r="F428" t="s">
        <v>2325</v>
      </c>
      <c r="G428" t="s">
        <v>28</v>
      </c>
      <c r="H428" t="s">
        <v>28</v>
      </c>
      <c r="I428" t="s">
        <v>806</v>
      </c>
    </row>
    <row r="429" spans="1:9" ht="11.25" customHeight="1">
      <c r="A429" t="s">
        <v>2246</v>
      </c>
      <c r="B429" t="s">
        <v>16</v>
      </c>
      <c r="C429" t="s">
        <v>3688</v>
      </c>
      <c r="D429" t="s">
        <v>3689</v>
      </c>
      <c r="E429" t="s">
        <v>3690</v>
      </c>
      <c r="F429" t="s">
        <v>3691</v>
      </c>
      <c r="G429" t="s">
        <v>28</v>
      </c>
      <c r="H429" t="s">
        <v>28</v>
      </c>
      <c r="I429" t="s">
        <v>806</v>
      </c>
    </row>
    <row r="430" spans="1:9" ht="11.25" customHeight="1">
      <c r="A430" t="s">
        <v>2246</v>
      </c>
      <c r="B430" t="s">
        <v>16</v>
      </c>
      <c r="C430" t="s">
        <v>3692</v>
      </c>
      <c r="D430" t="s">
        <v>3693</v>
      </c>
      <c r="E430" t="s">
        <v>3694</v>
      </c>
      <c r="F430" t="s">
        <v>2325</v>
      </c>
      <c r="G430" t="s">
        <v>28</v>
      </c>
      <c r="H430" t="s">
        <v>28</v>
      </c>
      <c r="I430" t="s">
        <v>806</v>
      </c>
    </row>
    <row r="431" spans="1:9" ht="11.25" customHeight="1">
      <c r="A431" t="s">
        <v>2246</v>
      </c>
      <c r="B431" t="s">
        <v>16</v>
      </c>
      <c r="C431" t="s">
        <v>3695</v>
      </c>
      <c r="D431" t="s">
        <v>3696</v>
      </c>
      <c r="E431" t="s">
        <v>3697</v>
      </c>
      <c r="F431" t="s">
        <v>3698</v>
      </c>
      <c r="G431" t="s">
        <v>28</v>
      </c>
      <c r="H431" t="s">
        <v>28</v>
      </c>
      <c r="I431" t="s">
        <v>806</v>
      </c>
    </row>
    <row r="432" spans="1:9" ht="11.25" customHeight="1">
      <c r="A432" t="s">
        <v>2246</v>
      </c>
      <c r="B432" t="s">
        <v>16</v>
      </c>
      <c r="C432" t="s">
        <v>3699</v>
      </c>
      <c r="D432" t="s">
        <v>3700</v>
      </c>
      <c r="E432" t="s">
        <v>3701</v>
      </c>
      <c r="F432" t="s">
        <v>2332</v>
      </c>
      <c r="G432" t="s">
        <v>28</v>
      </c>
      <c r="H432" t="s">
        <v>28</v>
      </c>
      <c r="I432" t="s">
        <v>806</v>
      </c>
    </row>
    <row r="433" spans="1:9" ht="11.25" customHeight="1">
      <c r="A433" t="s">
        <v>2246</v>
      </c>
      <c r="B433" t="s">
        <v>16</v>
      </c>
      <c r="C433" t="s">
        <v>3702</v>
      </c>
      <c r="D433" t="s">
        <v>3703</v>
      </c>
      <c r="E433" t="s">
        <v>3704</v>
      </c>
      <c r="F433" t="s">
        <v>2295</v>
      </c>
      <c r="G433" t="s">
        <v>28</v>
      </c>
      <c r="H433" t="s">
        <v>28</v>
      </c>
      <c r="I433" t="s">
        <v>806</v>
      </c>
    </row>
    <row r="434" spans="1:9" ht="11.25" customHeight="1">
      <c r="A434" t="s">
        <v>2246</v>
      </c>
      <c r="B434" t="s">
        <v>16</v>
      </c>
      <c r="C434" t="s">
        <v>3705</v>
      </c>
      <c r="D434" t="s">
        <v>3706</v>
      </c>
      <c r="E434" t="s">
        <v>3707</v>
      </c>
      <c r="F434" t="s">
        <v>2295</v>
      </c>
      <c r="G434" t="s">
        <v>3708</v>
      </c>
      <c r="H434" t="s">
        <v>28</v>
      </c>
      <c r="I434" t="s">
        <v>806</v>
      </c>
    </row>
    <row r="435" spans="1:9" ht="11.25" customHeight="1">
      <c r="A435" t="s">
        <v>2246</v>
      </c>
      <c r="B435" t="s">
        <v>16</v>
      </c>
      <c r="C435" t="s">
        <v>3709</v>
      </c>
      <c r="D435" t="s">
        <v>3710</v>
      </c>
      <c r="E435" t="s">
        <v>3711</v>
      </c>
      <c r="F435" t="s">
        <v>2560</v>
      </c>
      <c r="G435" t="s">
        <v>28</v>
      </c>
      <c r="H435" t="s">
        <v>28</v>
      </c>
      <c r="I435" t="s">
        <v>806</v>
      </c>
    </row>
    <row r="436" spans="1:9" ht="11.25" customHeight="1">
      <c r="A436" t="s">
        <v>2246</v>
      </c>
      <c r="B436" t="s">
        <v>16</v>
      </c>
      <c r="C436" t="s">
        <v>3712</v>
      </c>
      <c r="D436" t="s">
        <v>3713</v>
      </c>
      <c r="E436" t="s">
        <v>3714</v>
      </c>
      <c r="F436" t="s">
        <v>2332</v>
      </c>
      <c r="G436" t="s">
        <v>28</v>
      </c>
      <c r="H436" t="s">
        <v>28</v>
      </c>
      <c r="I436" t="s">
        <v>806</v>
      </c>
    </row>
    <row r="437" spans="1:9" ht="11.25" customHeight="1">
      <c r="A437" t="s">
        <v>2246</v>
      </c>
      <c r="B437" t="s">
        <v>16</v>
      </c>
      <c r="C437" t="s">
        <v>3715</v>
      </c>
      <c r="D437" t="s">
        <v>3716</v>
      </c>
      <c r="E437" t="s">
        <v>3717</v>
      </c>
      <c r="F437" t="s">
        <v>2332</v>
      </c>
      <c r="G437" t="s">
        <v>3718</v>
      </c>
      <c r="H437" t="s">
        <v>28</v>
      </c>
      <c r="I437" t="s">
        <v>806</v>
      </c>
    </row>
    <row r="438" spans="1:9" ht="11.25" customHeight="1">
      <c r="A438" t="s">
        <v>2246</v>
      </c>
      <c r="B438" t="s">
        <v>16</v>
      </c>
      <c r="C438" t="s">
        <v>3719</v>
      </c>
      <c r="D438" t="s">
        <v>3720</v>
      </c>
      <c r="E438" t="s">
        <v>3721</v>
      </c>
      <c r="F438" t="s">
        <v>2332</v>
      </c>
      <c r="G438" t="s">
        <v>28</v>
      </c>
      <c r="H438" t="s">
        <v>28</v>
      </c>
      <c r="I438" t="s">
        <v>806</v>
      </c>
    </row>
    <row r="439" spans="1:9" ht="11.25" customHeight="1">
      <c r="A439" t="s">
        <v>2246</v>
      </c>
      <c r="B439" t="s">
        <v>16</v>
      </c>
      <c r="C439" t="s">
        <v>3722</v>
      </c>
      <c r="D439" t="s">
        <v>3723</v>
      </c>
      <c r="E439" t="s">
        <v>3724</v>
      </c>
      <c r="F439" t="s">
        <v>2268</v>
      </c>
      <c r="G439" t="s">
        <v>28</v>
      </c>
      <c r="H439" t="s">
        <v>28</v>
      </c>
      <c r="I439" t="s">
        <v>806</v>
      </c>
    </row>
    <row r="440" spans="1:9" ht="11.25" customHeight="1">
      <c r="A440" t="s">
        <v>2246</v>
      </c>
      <c r="B440" t="s">
        <v>16</v>
      </c>
      <c r="C440" t="s">
        <v>3725</v>
      </c>
      <c r="D440" t="s">
        <v>3726</v>
      </c>
      <c r="E440" t="s">
        <v>3727</v>
      </c>
      <c r="F440" t="s">
        <v>2343</v>
      </c>
      <c r="G440" t="s">
        <v>28</v>
      </c>
      <c r="H440" t="s">
        <v>28</v>
      </c>
      <c r="I440" t="s">
        <v>806</v>
      </c>
    </row>
    <row r="441" spans="1:9" ht="11.25" customHeight="1">
      <c r="A441" t="s">
        <v>2246</v>
      </c>
      <c r="B441" t="s">
        <v>16</v>
      </c>
      <c r="C441" t="s">
        <v>3728</v>
      </c>
      <c r="D441" t="s">
        <v>3729</v>
      </c>
      <c r="E441" t="s">
        <v>3730</v>
      </c>
      <c r="F441" t="s">
        <v>2758</v>
      </c>
      <c r="G441" t="s">
        <v>3731</v>
      </c>
      <c r="H441" t="s">
        <v>28</v>
      </c>
      <c r="I441" t="s">
        <v>806</v>
      </c>
    </row>
    <row r="442" spans="1:9" ht="11.25" customHeight="1">
      <c r="A442" t="s">
        <v>2246</v>
      </c>
      <c r="B442" t="s">
        <v>16</v>
      </c>
      <c r="C442" t="s">
        <v>3732</v>
      </c>
      <c r="D442" t="s">
        <v>3733</v>
      </c>
      <c r="E442" t="s">
        <v>3734</v>
      </c>
      <c r="F442" t="s">
        <v>2384</v>
      </c>
      <c r="G442" t="s">
        <v>28</v>
      </c>
      <c r="H442" t="s">
        <v>28</v>
      </c>
      <c r="I442" t="s">
        <v>806</v>
      </c>
    </row>
    <row r="443" spans="1:9" ht="11.25" customHeight="1">
      <c r="A443" t="s">
        <v>2246</v>
      </c>
      <c r="B443" t="s">
        <v>16</v>
      </c>
      <c r="C443" t="s">
        <v>3735</v>
      </c>
      <c r="D443" t="s">
        <v>3736</v>
      </c>
      <c r="E443" t="s">
        <v>3737</v>
      </c>
      <c r="F443" t="s">
        <v>3188</v>
      </c>
      <c r="G443" t="s">
        <v>3738</v>
      </c>
      <c r="H443" t="s">
        <v>28</v>
      </c>
      <c r="I443" t="s">
        <v>806</v>
      </c>
    </row>
    <row r="444" spans="1:9" ht="11.25" customHeight="1">
      <c r="A444" t="s">
        <v>2246</v>
      </c>
      <c r="B444" t="s">
        <v>16</v>
      </c>
      <c r="C444" t="s">
        <v>3739</v>
      </c>
      <c r="D444" t="s">
        <v>3740</v>
      </c>
      <c r="E444" t="s">
        <v>3741</v>
      </c>
      <c r="F444" t="s">
        <v>2574</v>
      </c>
      <c r="G444" t="s">
        <v>3742</v>
      </c>
      <c r="H444" t="s">
        <v>28</v>
      </c>
      <c r="I444" t="s">
        <v>806</v>
      </c>
    </row>
    <row r="445" spans="1:9" ht="11.25" customHeight="1">
      <c r="A445" t="s">
        <v>2246</v>
      </c>
      <c r="B445" t="s">
        <v>16</v>
      </c>
      <c r="C445" t="s">
        <v>3743</v>
      </c>
      <c r="D445" t="s">
        <v>3744</v>
      </c>
      <c r="E445" t="s">
        <v>3745</v>
      </c>
      <c r="F445" t="s">
        <v>2325</v>
      </c>
      <c r="G445" t="s">
        <v>3746</v>
      </c>
      <c r="H445" t="s">
        <v>28</v>
      </c>
      <c r="I445" t="s">
        <v>806</v>
      </c>
    </row>
    <row r="446" spans="1:9" ht="11.25" customHeight="1">
      <c r="A446" t="s">
        <v>2246</v>
      </c>
      <c r="B446" t="s">
        <v>16</v>
      </c>
      <c r="C446" t="s">
        <v>3747</v>
      </c>
      <c r="D446" t="s">
        <v>3748</v>
      </c>
      <c r="E446" t="s">
        <v>3749</v>
      </c>
      <c r="F446" t="s">
        <v>2332</v>
      </c>
      <c r="G446" t="s">
        <v>3750</v>
      </c>
      <c r="H446" t="s">
        <v>28</v>
      </c>
      <c r="I446" t="s">
        <v>806</v>
      </c>
    </row>
    <row r="447" spans="1:9" ht="11.25" customHeight="1">
      <c r="A447" t="s">
        <v>2246</v>
      </c>
      <c r="B447" t="s">
        <v>16</v>
      </c>
      <c r="C447" t="s">
        <v>3751</v>
      </c>
      <c r="D447" t="s">
        <v>3752</v>
      </c>
      <c r="E447" t="s">
        <v>3753</v>
      </c>
      <c r="F447" t="s">
        <v>2303</v>
      </c>
      <c r="G447" t="s">
        <v>28</v>
      </c>
      <c r="H447" t="s">
        <v>28</v>
      </c>
      <c r="I447" t="s">
        <v>806</v>
      </c>
    </row>
    <row r="448" spans="1:9" ht="11.25" customHeight="1">
      <c r="A448" t="s">
        <v>2246</v>
      </c>
      <c r="B448" t="s">
        <v>16</v>
      </c>
      <c r="C448" t="s">
        <v>3754</v>
      </c>
      <c r="D448" t="s">
        <v>3755</v>
      </c>
      <c r="E448" t="s">
        <v>3756</v>
      </c>
      <c r="F448" t="s">
        <v>2325</v>
      </c>
      <c r="G448" t="s">
        <v>3757</v>
      </c>
      <c r="H448" t="s">
        <v>28</v>
      </c>
      <c r="I448" t="s">
        <v>806</v>
      </c>
    </row>
    <row r="449" spans="1:9" ht="11.25" customHeight="1">
      <c r="A449" t="s">
        <v>2246</v>
      </c>
      <c r="B449" t="s">
        <v>16</v>
      </c>
      <c r="C449" t="s">
        <v>3758</v>
      </c>
      <c r="D449" t="s">
        <v>3759</v>
      </c>
      <c r="E449" t="s">
        <v>3760</v>
      </c>
      <c r="F449" t="s">
        <v>3761</v>
      </c>
      <c r="G449" t="s">
        <v>28</v>
      </c>
      <c r="H449" t="s">
        <v>28</v>
      </c>
      <c r="I449" t="s">
        <v>806</v>
      </c>
    </row>
    <row r="450" spans="1:9" ht="11.25" customHeight="1">
      <c r="A450" t="s">
        <v>2246</v>
      </c>
      <c r="B450" t="s">
        <v>16</v>
      </c>
      <c r="C450" t="s">
        <v>3762</v>
      </c>
      <c r="D450" t="s">
        <v>3763</v>
      </c>
      <c r="E450" t="s">
        <v>3764</v>
      </c>
      <c r="F450" t="s">
        <v>3180</v>
      </c>
      <c r="G450" t="s">
        <v>28</v>
      </c>
      <c r="H450" t="s">
        <v>28</v>
      </c>
      <c r="I450" t="s">
        <v>806</v>
      </c>
    </row>
    <row r="451" spans="1:9" ht="11.25" customHeight="1">
      <c r="A451" t="s">
        <v>2246</v>
      </c>
      <c r="B451" t="s">
        <v>16</v>
      </c>
      <c r="C451" t="s">
        <v>3765</v>
      </c>
      <c r="D451" t="s">
        <v>3766</v>
      </c>
      <c r="E451" t="s">
        <v>3767</v>
      </c>
      <c r="F451" t="s">
        <v>2325</v>
      </c>
      <c r="G451" t="s">
        <v>28</v>
      </c>
      <c r="H451" t="s">
        <v>28</v>
      </c>
      <c r="I451" t="s">
        <v>806</v>
      </c>
    </row>
    <row r="452" spans="1:9" ht="11.25" customHeight="1">
      <c r="A452" t="s">
        <v>2246</v>
      </c>
      <c r="B452" t="s">
        <v>16</v>
      </c>
      <c r="C452" t="s">
        <v>3768</v>
      </c>
      <c r="D452" t="s">
        <v>3769</v>
      </c>
      <c r="E452" t="s">
        <v>3770</v>
      </c>
      <c r="F452" t="s">
        <v>50</v>
      </c>
      <c r="G452" t="s">
        <v>28</v>
      </c>
      <c r="H452" t="s">
        <v>28</v>
      </c>
      <c r="I452" t="s">
        <v>806</v>
      </c>
    </row>
    <row r="453" spans="1:9" ht="11.25" customHeight="1">
      <c r="A453" t="s">
        <v>2246</v>
      </c>
      <c r="B453" t="s">
        <v>16</v>
      </c>
      <c r="C453" t="s">
        <v>3771</v>
      </c>
      <c r="D453" t="s">
        <v>3772</v>
      </c>
      <c r="E453" t="s">
        <v>3773</v>
      </c>
      <c r="F453" t="s">
        <v>2295</v>
      </c>
      <c r="G453" t="s">
        <v>3774</v>
      </c>
      <c r="H453" t="s">
        <v>28</v>
      </c>
      <c r="I453" t="s">
        <v>806</v>
      </c>
    </row>
    <row r="454" spans="1:9" ht="11.25" customHeight="1">
      <c r="A454" t="s">
        <v>2246</v>
      </c>
      <c r="B454" t="s">
        <v>16</v>
      </c>
      <c r="C454" t="s">
        <v>3775</v>
      </c>
      <c r="D454" t="s">
        <v>3776</v>
      </c>
      <c r="E454" t="s">
        <v>3777</v>
      </c>
      <c r="F454" t="s">
        <v>2582</v>
      </c>
      <c r="G454" t="s">
        <v>3778</v>
      </c>
      <c r="H454" t="s">
        <v>28</v>
      </c>
      <c r="I454" t="s">
        <v>806</v>
      </c>
    </row>
    <row r="455" spans="1:9" ht="11.25" customHeight="1">
      <c r="A455" t="s">
        <v>2246</v>
      </c>
      <c r="B455" t="s">
        <v>16</v>
      </c>
      <c r="C455" t="s">
        <v>3779</v>
      </c>
      <c r="D455" t="s">
        <v>3780</v>
      </c>
      <c r="E455" t="s">
        <v>3781</v>
      </c>
      <c r="F455" t="s">
        <v>2574</v>
      </c>
      <c r="G455" t="s">
        <v>28</v>
      </c>
      <c r="H455" t="s">
        <v>28</v>
      </c>
      <c r="I455" t="s">
        <v>806</v>
      </c>
    </row>
    <row r="456" spans="1:9" ht="11.25" customHeight="1">
      <c r="A456" t="s">
        <v>2246</v>
      </c>
      <c r="B456" t="s">
        <v>16</v>
      </c>
      <c r="C456" t="s">
        <v>3782</v>
      </c>
      <c r="D456" t="s">
        <v>3783</v>
      </c>
      <c r="E456" t="s">
        <v>3784</v>
      </c>
      <c r="F456" t="s">
        <v>2384</v>
      </c>
      <c r="G456" t="s">
        <v>3785</v>
      </c>
      <c r="H456" t="s">
        <v>28</v>
      </c>
      <c r="I456" t="s">
        <v>806</v>
      </c>
    </row>
    <row r="457" spans="1:9" ht="11.25" customHeight="1">
      <c r="A457" t="s">
        <v>2246</v>
      </c>
      <c r="B457" t="s">
        <v>16</v>
      </c>
      <c r="C457" t="s">
        <v>3786</v>
      </c>
      <c r="D457" t="s">
        <v>3787</v>
      </c>
      <c r="E457" t="s">
        <v>3788</v>
      </c>
      <c r="F457" t="s">
        <v>2325</v>
      </c>
      <c r="G457" t="s">
        <v>3789</v>
      </c>
      <c r="H457" t="s">
        <v>28</v>
      </c>
      <c r="I457" t="s">
        <v>806</v>
      </c>
    </row>
    <row r="458" spans="1:9" ht="11.25" customHeight="1">
      <c r="A458" t="s">
        <v>2246</v>
      </c>
      <c r="B458" t="s">
        <v>16</v>
      </c>
      <c r="C458" t="s">
        <v>3790</v>
      </c>
      <c r="D458" t="s">
        <v>3791</v>
      </c>
      <c r="E458" t="s">
        <v>3792</v>
      </c>
      <c r="F458" t="s">
        <v>3793</v>
      </c>
      <c r="G458" t="s">
        <v>3794</v>
      </c>
      <c r="H458" t="s">
        <v>28</v>
      </c>
      <c r="I458" t="s">
        <v>806</v>
      </c>
    </row>
    <row r="459" spans="1:9" ht="11.25" customHeight="1">
      <c r="A459" t="s">
        <v>2246</v>
      </c>
      <c r="B459" t="s">
        <v>16</v>
      </c>
      <c r="C459" t="s">
        <v>3795</v>
      </c>
      <c r="D459" t="s">
        <v>3796</v>
      </c>
      <c r="E459" t="s">
        <v>3797</v>
      </c>
      <c r="F459" t="s">
        <v>2303</v>
      </c>
      <c r="G459" t="s">
        <v>28</v>
      </c>
      <c r="H459" t="s">
        <v>28</v>
      </c>
      <c r="I459" t="s">
        <v>806</v>
      </c>
    </row>
    <row r="460" spans="1:9" ht="11.25" customHeight="1">
      <c r="A460" t="s">
        <v>2246</v>
      </c>
      <c r="B460" t="s">
        <v>16</v>
      </c>
      <c r="C460" t="s">
        <v>3798</v>
      </c>
      <c r="D460" t="s">
        <v>3799</v>
      </c>
      <c r="E460" t="s">
        <v>3800</v>
      </c>
      <c r="F460" t="s">
        <v>2687</v>
      </c>
      <c r="G460" t="s">
        <v>28</v>
      </c>
      <c r="H460" t="s">
        <v>28</v>
      </c>
      <c r="I460" t="s">
        <v>806</v>
      </c>
    </row>
    <row r="461" spans="1:9" ht="11.25" customHeight="1">
      <c r="A461" t="s">
        <v>2246</v>
      </c>
      <c r="B461" t="s">
        <v>16</v>
      </c>
      <c r="C461" t="s">
        <v>3801</v>
      </c>
      <c r="D461" t="s">
        <v>3802</v>
      </c>
      <c r="E461" t="s">
        <v>3803</v>
      </c>
      <c r="F461" t="s">
        <v>2906</v>
      </c>
      <c r="G461" t="s">
        <v>28</v>
      </c>
      <c r="H461" t="s">
        <v>28</v>
      </c>
      <c r="I461" t="s">
        <v>806</v>
      </c>
    </row>
    <row r="462" spans="1:9" ht="11.25" customHeight="1">
      <c r="A462" t="s">
        <v>2246</v>
      </c>
      <c r="B462" t="s">
        <v>16</v>
      </c>
      <c r="C462" t="s">
        <v>3804</v>
      </c>
      <c r="D462" t="s">
        <v>3805</v>
      </c>
      <c r="E462" t="s">
        <v>3806</v>
      </c>
      <c r="F462" t="s">
        <v>50</v>
      </c>
      <c r="G462" t="s">
        <v>28</v>
      </c>
      <c r="H462" t="s">
        <v>28</v>
      </c>
      <c r="I462" t="s">
        <v>806</v>
      </c>
    </row>
    <row r="463" spans="1:9" ht="11.25" customHeight="1">
      <c r="A463" t="s">
        <v>2246</v>
      </c>
      <c r="B463" t="s">
        <v>16</v>
      </c>
      <c r="C463" t="s">
        <v>3807</v>
      </c>
      <c r="D463" t="s">
        <v>3808</v>
      </c>
      <c r="E463" t="s">
        <v>3809</v>
      </c>
      <c r="F463" t="s">
        <v>2325</v>
      </c>
      <c r="G463" t="s">
        <v>3810</v>
      </c>
      <c r="H463" t="s">
        <v>28</v>
      </c>
      <c r="I463" t="s">
        <v>806</v>
      </c>
    </row>
    <row r="464" spans="1:9" ht="11.25" customHeight="1">
      <c r="A464" t="s">
        <v>2246</v>
      </c>
      <c r="B464" t="s">
        <v>16</v>
      </c>
      <c r="C464" t="s">
        <v>3811</v>
      </c>
      <c r="D464" t="s">
        <v>3812</v>
      </c>
      <c r="E464" t="s">
        <v>3813</v>
      </c>
      <c r="F464" t="s">
        <v>50</v>
      </c>
      <c r="G464" t="s">
        <v>3664</v>
      </c>
      <c r="H464" t="s">
        <v>28</v>
      </c>
      <c r="I464" t="s">
        <v>806</v>
      </c>
    </row>
    <row r="465" spans="1:9" ht="11.25" customHeight="1">
      <c r="A465" t="s">
        <v>2246</v>
      </c>
      <c r="B465" t="s">
        <v>16</v>
      </c>
      <c r="C465" t="s">
        <v>3814</v>
      </c>
      <c r="D465" t="s">
        <v>3815</v>
      </c>
      <c r="E465" t="s">
        <v>3816</v>
      </c>
      <c r="F465" t="s">
        <v>50</v>
      </c>
      <c r="G465" t="s">
        <v>3817</v>
      </c>
      <c r="H465" t="s">
        <v>28</v>
      </c>
      <c r="I465" t="s">
        <v>806</v>
      </c>
    </row>
    <row r="466" spans="1:9" ht="11.25" customHeight="1">
      <c r="A466" t="s">
        <v>2246</v>
      </c>
      <c r="B466" t="s">
        <v>16</v>
      </c>
      <c r="C466" t="s">
        <v>3818</v>
      </c>
      <c r="D466" t="s">
        <v>3819</v>
      </c>
      <c r="E466" t="s">
        <v>3820</v>
      </c>
      <c r="F466" t="s">
        <v>2332</v>
      </c>
      <c r="G466" t="s">
        <v>28</v>
      </c>
      <c r="H466" t="s">
        <v>28</v>
      </c>
      <c r="I466" t="s">
        <v>806</v>
      </c>
    </row>
    <row r="467" spans="1:9" ht="11.25" customHeight="1">
      <c r="A467" t="s">
        <v>2246</v>
      </c>
      <c r="B467" t="s">
        <v>16</v>
      </c>
      <c r="C467" t="s">
        <v>3821</v>
      </c>
      <c r="D467" t="s">
        <v>3822</v>
      </c>
      <c r="E467" t="s">
        <v>3823</v>
      </c>
      <c r="F467" t="s">
        <v>2325</v>
      </c>
      <c r="G467" t="s">
        <v>28</v>
      </c>
      <c r="H467" t="s">
        <v>28</v>
      </c>
      <c r="I467" t="s">
        <v>806</v>
      </c>
    </row>
    <row r="468" spans="1:9" ht="11.25" customHeight="1">
      <c r="A468" t="s">
        <v>2246</v>
      </c>
      <c r="B468" t="s">
        <v>16</v>
      </c>
      <c r="C468" t="s">
        <v>3824</v>
      </c>
      <c r="D468" t="s">
        <v>3825</v>
      </c>
      <c r="E468" t="s">
        <v>3826</v>
      </c>
      <c r="F468" t="s">
        <v>2250</v>
      </c>
      <c r="G468" t="s">
        <v>28</v>
      </c>
      <c r="H468" t="s">
        <v>28</v>
      </c>
      <c r="I468" t="s">
        <v>806</v>
      </c>
    </row>
    <row r="469" spans="1:9" ht="11.25" customHeight="1">
      <c r="A469" t="s">
        <v>2246</v>
      </c>
      <c r="B469" t="s">
        <v>16</v>
      </c>
      <c r="C469" t="s">
        <v>3827</v>
      </c>
      <c r="D469" t="s">
        <v>3828</v>
      </c>
      <c r="E469" t="s">
        <v>3829</v>
      </c>
      <c r="F469" t="s">
        <v>2325</v>
      </c>
      <c r="G469" t="s">
        <v>3830</v>
      </c>
      <c r="H469" t="s">
        <v>28</v>
      </c>
      <c r="I469" t="s">
        <v>806</v>
      </c>
    </row>
    <row r="470" spans="1:9" ht="11.25" customHeight="1">
      <c r="A470" t="s">
        <v>2246</v>
      </c>
      <c r="B470" t="s">
        <v>16</v>
      </c>
      <c r="C470" t="s">
        <v>3831</v>
      </c>
      <c r="D470" t="s">
        <v>3832</v>
      </c>
      <c r="E470" t="s">
        <v>3833</v>
      </c>
      <c r="F470" t="s">
        <v>2384</v>
      </c>
      <c r="G470" t="s">
        <v>3834</v>
      </c>
      <c r="H470" t="s">
        <v>28</v>
      </c>
      <c r="I470" t="s">
        <v>806</v>
      </c>
    </row>
    <row r="471" spans="1:9" ht="11.25" customHeight="1">
      <c r="A471" t="s">
        <v>2246</v>
      </c>
      <c r="B471" t="s">
        <v>16</v>
      </c>
      <c r="C471" t="s">
        <v>3835</v>
      </c>
      <c r="D471" t="s">
        <v>3836</v>
      </c>
      <c r="E471" t="s">
        <v>3837</v>
      </c>
      <c r="F471" t="s">
        <v>2384</v>
      </c>
      <c r="G471" t="s">
        <v>3838</v>
      </c>
      <c r="H471" t="s">
        <v>28</v>
      </c>
      <c r="I471" t="s">
        <v>806</v>
      </c>
    </row>
    <row r="472" spans="1:9" ht="11.25" customHeight="1">
      <c r="A472" t="s">
        <v>2246</v>
      </c>
      <c r="B472" t="s">
        <v>16</v>
      </c>
      <c r="C472" t="s">
        <v>3839</v>
      </c>
      <c r="D472" t="s">
        <v>3840</v>
      </c>
      <c r="E472" t="s">
        <v>3841</v>
      </c>
      <c r="F472" t="s">
        <v>2384</v>
      </c>
      <c r="G472" t="s">
        <v>28</v>
      </c>
      <c r="H472" t="s">
        <v>28</v>
      </c>
      <c r="I472" t="s">
        <v>806</v>
      </c>
    </row>
    <row r="473" spans="1:9" ht="11.25" customHeight="1">
      <c r="A473" t="s">
        <v>2246</v>
      </c>
      <c r="B473" t="s">
        <v>16</v>
      </c>
      <c r="C473" t="s">
        <v>3842</v>
      </c>
      <c r="D473" t="s">
        <v>3843</v>
      </c>
      <c r="E473" t="s">
        <v>3844</v>
      </c>
      <c r="F473" t="s">
        <v>2574</v>
      </c>
      <c r="G473" t="s">
        <v>3845</v>
      </c>
      <c r="H473" t="s">
        <v>28</v>
      </c>
      <c r="I473" t="s">
        <v>806</v>
      </c>
    </row>
    <row r="474" spans="1:9" ht="11.25" customHeight="1">
      <c r="A474" t="s">
        <v>2246</v>
      </c>
      <c r="B474" t="s">
        <v>16</v>
      </c>
      <c r="C474" t="s">
        <v>3846</v>
      </c>
      <c r="D474" t="s">
        <v>3847</v>
      </c>
      <c r="E474" t="s">
        <v>3848</v>
      </c>
      <c r="F474" t="s">
        <v>2303</v>
      </c>
      <c r="G474" t="s">
        <v>28</v>
      </c>
      <c r="H474" t="s">
        <v>28</v>
      </c>
      <c r="I474" t="s">
        <v>806</v>
      </c>
    </row>
    <row r="475" spans="1:9" ht="11.25" customHeight="1">
      <c r="A475" t="s">
        <v>2246</v>
      </c>
      <c r="B475" t="s">
        <v>16</v>
      </c>
      <c r="C475" t="s">
        <v>3849</v>
      </c>
      <c r="D475" t="s">
        <v>3850</v>
      </c>
      <c r="E475" t="s">
        <v>3851</v>
      </c>
      <c r="F475" t="s">
        <v>2250</v>
      </c>
      <c r="G475" t="s">
        <v>28</v>
      </c>
      <c r="H475" t="s">
        <v>28</v>
      </c>
      <c r="I475" t="s">
        <v>806</v>
      </c>
    </row>
    <row r="476" spans="1:9" ht="11.25" customHeight="1">
      <c r="A476" t="s">
        <v>2246</v>
      </c>
      <c r="B476" t="s">
        <v>16</v>
      </c>
      <c r="C476" t="s">
        <v>3852</v>
      </c>
      <c r="D476" t="s">
        <v>3853</v>
      </c>
      <c r="E476" t="s">
        <v>3854</v>
      </c>
      <c r="F476" t="s">
        <v>50</v>
      </c>
      <c r="G476" t="s">
        <v>28</v>
      </c>
      <c r="H476" t="s">
        <v>28</v>
      </c>
      <c r="I476" t="s">
        <v>806</v>
      </c>
    </row>
    <row r="477" spans="1:9" ht="11.25" customHeight="1">
      <c r="A477" t="s">
        <v>2246</v>
      </c>
      <c r="B477" t="s">
        <v>16</v>
      </c>
      <c r="C477" t="s">
        <v>3855</v>
      </c>
      <c r="D477" t="s">
        <v>3856</v>
      </c>
      <c r="E477" t="s">
        <v>3857</v>
      </c>
      <c r="F477" t="s">
        <v>3858</v>
      </c>
      <c r="G477" t="s">
        <v>3859</v>
      </c>
      <c r="H477" t="s">
        <v>28</v>
      </c>
      <c r="I477" t="s">
        <v>806</v>
      </c>
    </row>
    <row r="478" spans="1:9" ht="11.25" customHeight="1">
      <c r="A478" t="s">
        <v>2246</v>
      </c>
      <c r="B478" t="s">
        <v>16</v>
      </c>
      <c r="C478" t="s">
        <v>3860</v>
      </c>
      <c r="D478" t="s">
        <v>3861</v>
      </c>
      <c r="E478" t="s">
        <v>3862</v>
      </c>
      <c r="F478" t="s">
        <v>2303</v>
      </c>
      <c r="G478" t="s">
        <v>28</v>
      </c>
      <c r="H478" t="s">
        <v>28</v>
      </c>
      <c r="I478" t="s">
        <v>806</v>
      </c>
    </row>
    <row r="479" spans="1:9" ht="11.25" customHeight="1">
      <c r="A479" t="s">
        <v>2246</v>
      </c>
      <c r="B479" t="s">
        <v>16</v>
      </c>
      <c r="C479" t="s">
        <v>3863</v>
      </c>
      <c r="D479" t="s">
        <v>3864</v>
      </c>
      <c r="E479" t="s">
        <v>3865</v>
      </c>
      <c r="F479" t="s">
        <v>2582</v>
      </c>
      <c r="G479" t="s">
        <v>28</v>
      </c>
      <c r="H479" t="s">
        <v>28</v>
      </c>
      <c r="I479" t="s">
        <v>806</v>
      </c>
    </row>
    <row r="480" spans="1:9" ht="11.25" customHeight="1">
      <c r="A480" t="s">
        <v>2246</v>
      </c>
      <c r="B480" t="s">
        <v>16</v>
      </c>
      <c r="C480" t="s">
        <v>3866</v>
      </c>
      <c r="D480" t="s">
        <v>3867</v>
      </c>
      <c r="E480" t="s">
        <v>3868</v>
      </c>
      <c r="F480" t="s">
        <v>3869</v>
      </c>
      <c r="G480" t="s">
        <v>28</v>
      </c>
      <c r="H480" t="s">
        <v>28</v>
      </c>
      <c r="I480" t="s">
        <v>806</v>
      </c>
    </row>
    <row r="481" spans="1:9" ht="11.25" customHeight="1">
      <c r="A481" t="s">
        <v>2246</v>
      </c>
      <c r="B481" t="s">
        <v>16</v>
      </c>
      <c r="C481" t="s">
        <v>3870</v>
      </c>
      <c r="D481" t="s">
        <v>3871</v>
      </c>
      <c r="E481" t="s">
        <v>3872</v>
      </c>
      <c r="F481" t="s">
        <v>2303</v>
      </c>
      <c r="G481" t="s">
        <v>3873</v>
      </c>
      <c r="H481" t="s">
        <v>28</v>
      </c>
      <c r="I481" t="s">
        <v>806</v>
      </c>
    </row>
    <row r="482" spans="1:9" ht="11.25" customHeight="1">
      <c r="A482" t="s">
        <v>2246</v>
      </c>
      <c r="B482" t="s">
        <v>16</v>
      </c>
      <c r="C482" t="s">
        <v>3874</v>
      </c>
      <c r="D482" t="s">
        <v>3875</v>
      </c>
      <c r="E482" t="s">
        <v>3876</v>
      </c>
      <c r="F482" t="s">
        <v>3188</v>
      </c>
      <c r="G482" t="s">
        <v>28</v>
      </c>
      <c r="H482" t="s">
        <v>28</v>
      </c>
      <c r="I482" t="s">
        <v>806</v>
      </c>
    </row>
    <row r="483" spans="1:9" ht="11.25" customHeight="1">
      <c r="A483" t="s">
        <v>2246</v>
      </c>
      <c r="B483" t="s">
        <v>16</v>
      </c>
      <c r="C483" t="s">
        <v>3877</v>
      </c>
      <c r="D483" t="s">
        <v>3878</v>
      </c>
      <c r="E483" t="s">
        <v>3879</v>
      </c>
      <c r="F483" t="s">
        <v>2332</v>
      </c>
      <c r="G483" t="s">
        <v>28</v>
      </c>
      <c r="H483" t="s">
        <v>28</v>
      </c>
      <c r="I483" t="s">
        <v>806</v>
      </c>
    </row>
    <row r="484" spans="1:9" ht="11.25" customHeight="1">
      <c r="A484" t="s">
        <v>2246</v>
      </c>
      <c r="B484" t="s">
        <v>16</v>
      </c>
      <c r="C484" t="s">
        <v>3880</v>
      </c>
      <c r="D484" t="s">
        <v>3881</v>
      </c>
      <c r="E484" t="s">
        <v>3882</v>
      </c>
      <c r="F484" t="s">
        <v>2250</v>
      </c>
      <c r="G484" t="s">
        <v>3883</v>
      </c>
      <c r="H484" t="s">
        <v>28</v>
      </c>
      <c r="I484" t="s">
        <v>806</v>
      </c>
    </row>
    <row r="485" spans="1:9" ht="11.25" customHeight="1">
      <c r="A485" t="s">
        <v>2246</v>
      </c>
      <c r="B485" t="s">
        <v>16</v>
      </c>
      <c r="C485" t="s">
        <v>3884</v>
      </c>
      <c r="D485" t="s">
        <v>3885</v>
      </c>
      <c r="E485" t="s">
        <v>3886</v>
      </c>
      <c r="F485" t="s">
        <v>2384</v>
      </c>
      <c r="G485" t="s">
        <v>3887</v>
      </c>
      <c r="H485" t="s">
        <v>28</v>
      </c>
      <c r="I485" t="s">
        <v>806</v>
      </c>
    </row>
    <row r="486" spans="1:9" ht="11.25" customHeight="1">
      <c r="A486" t="s">
        <v>2246</v>
      </c>
      <c r="B486" t="s">
        <v>16</v>
      </c>
      <c r="C486" t="s">
        <v>3888</v>
      </c>
      <c r="D486" t="s">
        <v>3889</v>
      </c>
      <c r="E486" t="s">
        <v>3890</v>
      </c>
      <c r="F486" t="s">
        <v>2332</v>
      </c>
      <c r="G486" t="s">
        <v>3891</v>
      </c>
      <c r="H486" t="s">
        <v>28</v>
      </c>
      <c r="I486" t="s">
        <v>806</v>
      </c>
    </row>
    <row r="487" spans="1:9" ht="11.25" customHeight="1">
      <c r="A487" t="s">
        <v>2246</v>
      </c>
      <c r="B487" t="s">
        <v>16</v>
      </c>
      <c r="C487" t="s">
        <v>3892</v>
      </c>
      <c r="D487" t="s">
        <v>3893</v>
      </c>
      <c r="E487" t="s">
        <v>3894</v>
      </c>
      <c r="F487" t="s">
        <v>50</v>
      </c>
      <c r="G487" t="s">
        <v>28</v>
      </c>
      <c r="H487" t="s">
        <v>28</v>
      </c>
      <c r="I487" t="s">
        <v>806</v>
      </c>
    </row>
    <row r="488" spans="1:9" ht="11.25" customHeight="1">
      <c r="A488" t="s">
        <v>2246</v>
      </c>
      <c r="B488" t="s">
        <v>16</v>
      </c>
      <c r="C488" t="s">
        <v>3895</v>
      </c>
      <c r="D488" t="s">
        <v>3896</v>
      </c>
      <c r="E488" t="s">
        <v>3897</v>
      </c>
      <c r="F488" t="s">
        <v>2325</v>
      </c>
      <c r="G488" t="s">
        <v>28</v>
      </c>
      <c r="H488" t="s">
        <v>28</v>
      </c>
      <c r="I488" t="s">
        <v>806</v>
      </c>
    </row>
    <row r="489" spans="1:9" ht="11.25" customHeight="1">
      <c r="A489" t="s">
        <v>2246</v>
      </c>
      <c r="B489" t="s">
        <v>16</v>
      </c>
      <c r="C489" t="s">
        <v>3898</v>
      </c>
      <c r="D489" t="s">
        <v>3899</v>
      </c>
      <c r="E489" t="s">
        <v>3900</v>
      </c>
      <c r="F489" t="s">
        <v>50</v>
      </c>
      <c r="G489" t="s">
        <v>28</v>
      </c>
      <c r="H489" t="s">
        <v>28</v>
      </c>
      <c r="I489" t="s">
        <v>806</v>
      </c>
    </row>
    <row r="490" spans="1:9" ht="11.25" customHeight="1">
      <c r="A490" t="s">
        <v>2246</v>
      </c>
      <c r="B490" t="s">
        <v>16</v>
      </c>
      <c r="C490" t="s">
        <v>3901</v>
      </c>
      <c r="D490" t="s">
        <v>3902</v>
      </c>
      <c r="E490" t="s">
        <v>3903</v>
      </c>
      <c r="F490" t="s">
        <v>2250</v>
      </c>
      <c r="G490" t="s">
        <v>28</v>
      </c>
      <c r="H490" t="s">
        <v>28</v>
      </c>
      <c r="I490" t="s">
        <v>806</v>
      </c>
    </row>
    <row r="491" spans="1:9" ht="11.25" customHeight="1">
      <c r="A491" t="s">
        <v>2246</v>
      </c>
      <c r="B491" t="s">
        <v>16</v>
      </c>
      <c r="C491" t="s">
        <v>3904</v>
      </c>
      <c r="D491" t="s">
        <v>3905</v>
      </c>
      <c r="E491" t="s">
        <v>3906</v>
      </c>
      <c r="F491" t="s">
        <v>2717</v>
      </c>
      <c r="G491" t="s">
        <v>28</v>
      </c>
      <c r="H491" t="s">
        <v>28</v>
      </c>
      <c r="I491" t="s">
        <v>806</v>
      </c>
    </row>
    <row r="492" spans="1:9" ht="11.25" customHeight="1">
      <c r="A492" t="s">
        <v>2246</v>
      </c>
      <c r="B492" t="s">
        <v>16</v>
      </c>
      <c r="C492" t="s">
        <v>3907</v>
      </c>
      <c r="D492" t="s">
        <v>3908</v>
      </c>
      <c r="E492" t="s">
        <v>3909</v>
      </c>
      <c r="F492" t="s">
        <v>2989</v>
      </c>
      <c r="G492" t="s">
        <v>28</v>
      </c>
      <c r="H492" t="s">
        <v>28</v>
      </c>
      <c r="I492" t="s">
        <v>806</v>
      </c>
    </row>
    <row r="493" spans="1:9" ht="11.25" customHeight="1">
      <c r="A493" t="s">
        <v>2246</v>
      </c>
      <c r="B493" t="s">
        <v>16</v>
      </c>
      <c r="C493" t="s">
        <v>3910</v>
      </c>
      <c r="D493" t="s">
        <v>3911</v>
      </c>
      <c r="E493" t="s">
        <v>3403</v>
      </c>
      <c r="F493" t="s">
        <v>50</v>
      </c>
      <c r="G493" t="s">
        <v>3912</v>
      </c>
      <c r="H493" t="s">
        <v>28</v>
      </c>
      <c r="I493" t="s">
        <v>806</v>
      </c>
    </row>
    <row r="494" spans="1:9" ht="11.25" customHeight="1">
      <c r="A494" t="s">
        <v>2246</v>
      </c>
      <c r="B494" t="s">
        <v>16</v>
      </c>
      <c r="C494" t="s">
        <v>3913</v>
      </c>
      <c r="D494" t="s">
        <v>3914</v>
      </c>
      <c r="E494" t="s">
        <v>3915</v>
      </c>
      <c r="F494" t="s">
        <v>50</v>
      </c>
      <c r="G494" t="s">
        <v>28</v>
      </c>
      <c r="H494" t="s">
        <v>28</v>
      </c>
      <c r="I494" t="s">
        <v>806</v>
      </c>
    </row>
    <row r="495" spans="1:9" ht="11.25" customHeight="1">
      <c r="A495" t="s">
        <v>2246</v>
      </c>
      <c r="B495" t="s">
        <v>16</v>
      </c>
      <c r="C495" t="s">
        <v>3916</v>
      </c>
      <c r="D495" t="s">
        <v>3917</v>
      </c>
      <c r="E495" t="s">
        <v>3918</v>
      </c>
      <c r="F495" t="s">
        <v>2574</v>
      </c>
      <c r="G495" t="s">
        <v>28</v>
      </c>
      <c r="H495" t="s">
        <v>28</v>
      </c>
      <c r="I495" t="s">
        <v>806</v>
      </c>
    </row>
    <row r="496" spans="1:9" ht="11.25" customHeight="1">
      <c r="A496" t="s">
        <v>2246</v>
      </c>
      <c r="B496" t="s">
        <v>16</v>
      </c>
      <c r="C496" t="s">
        <v>3919</v>
      </c>
      <c r="D496" t="s">
        <v>3920</v>
      </c>
      <c r="E496" t="s">
        <v>3921</v>
      </c>
      <c r="F496" t="s">
        <v>50</v>
      </c>
      <c r="G496" t="s">
        <v>28</v>
      </c>
      <c r="H496" t="s">
        <v>28</v>
      </c>
      <c r="I496" t="s">
        <v>806</v>
      </c>
    </row>
    <row r="497" spans="1:9" ht="11.25" customHeight="1">
      <c r="A497" t="s">
        <v>2246</v>
      </c>
      <c r="B497" t="s">
        <v>16</v>
      </c>
      <c r="C497" t="s">
        <v>3922</v>
      </c>
      <c r="D497" t="s">
        <v>3923</v>
      </c>
      <c r="E497" t="s">
        <v>3924</v>
      </c>
      <c r="F497" t="s">
        <v>2343</v>
      </c>
      <c r="G497" t="s">
        <v>28</v>
      </c>
      <c r="H497" t="s">
        <v>28</v>
      </c>
      <c r="I497" t="s">
        <v>806</v>
      </c>
    </row>
    <row r="498" spans="1:9" ht="11.25" customHeight="1">
      <c r="A498" t="s">
        <v>2246</v>
      </c>
      <c r="B498" t="s">
        <v>16</v>
      </c>
      <c r="C498" t="s">
        <v>3925</v>
      </c>
      <c r="D498" t="s">
        <v>3926</v>
      </c>
      <c r="E498" t="s">
        <v>3927</v>
      </c>
      <c r="F498" t="s">
        <v>2347</v>
      </c>
      <c r="G498" t="s">
        <v>3928</v>
      </c>
      <c r="H498" t="s">
        <v>28</v>
      </c>
      <c r="I498" t="s">
        <v>806</v>
      </c>
    </row>
    <row r="499" spans="1:9" ht="11.25" customHeight="1">
      <c r="A499" t="s">
        <v>2246</v>
      </c>
      <c r="B499" t="s">
        <v>16</v>
      </c>
      <c r="C499" t="s">
        <v>3929</v>
      </c>
      <c r="D499" t="s">
        <v>3930</v>
      </c>
      <c r="E499" t="s">
        <v>3931</v>
      </c>
      <c r="F499" t="s">
        <v>2347</v>
      </c>
      <c r="G499" t="s">
        <v>28</v>
      </c>
      <c r="H499" t="s">
        <v>28</v>
      </c>
      <c r="I499" t="s">
        <v>806</v>
      </c>
    </row>
    <row r="500" spans="1:9" ht="11.25" customHeight="1">
      <c r="A500" t="s">
        <v>2246</v>
      </c>
      <c r="B500" t="s">
        <v>16</v>
      </c>
      <c r="C500" t="s">
        <v>3932</v>
      </c>
      <c r="D500" t="s">
        <v>3933</v>
      </c>
      <c r="E500" t="s">
        <v>3934</v>
      </c>
      <c r="F500" t="s">
        <v>3935</v>
      </c>
      <c r="G500" t="s">
        <v>3936</v>
      </c>
      <c r="H500" t="s">
        <v>28</v>
      </c>
      <c r="I500" t="s">
        <v>806</v>
      </c>
    </row>
    <row r="501" spans="1:9" ht="11.25" customHeight="1">
      <c r="A501" t="s">
        <v>2246</v>
      </c>
      <c r="B501" t="s">
        <v>16</v>
      </c>
      <c r="C501" t="s">
        <v>3937</v>
      </c>
      <c r="D501" t="s">
        <v>3938</v>
      </c>
      <c r="E501" t="s">
        <v>3939</v>
      </c>
      <c r="F501" t="s">
        <v>3940</v>
      </c>
      <c r="G501" t="s">
        <v>28</v>
      </c>
      <c r="H501" t="s">
        <v>28</v>
      </c>
      <c r="I501" t="s">
        <v>806</v>
      </c>
    </row>
    <row r="502" spans="1:9" ht="11.25" customHeight="1">
      <c r="A502" t="s">
        <v>2246</v>
      </c>
      <c r="B502" t="s">
        <v>16</v>
      </c>
      <c r="C502" t="s">
        <v>3941</v>
      </c>
      <c r="D502" t="s">
        <v>3942</v>
      </c>
      <c r="E502" t="s">
        <v>3530</v>
      </c>
      <c r="F502" t="s">
        <v>3943</v>
      </c>
      <c r="G502" t="s">
        <v>28</v>
      </c>
      <c r="H502" t="s">
        <v>28</v>
      </c>
      <c r="I502" t="s">
        <v>806</v>
      </c>
    </row>
    <row r="503" spans="1:9" ht="11.25" customHeight="1">
      <c r="A503" t="s">
        <v>2246</v>
      </c>
      <c r="B503" t="s">
        <v>16</v>
      </c>
      <c r="C503" t="s">
        <v>3944</v>
      </c>
      <c r="D503" t="s">
        <v>3945</v>
      </c>
      <c r="E503" t="s">
        <v>3946</v>
      </c>
      <c r="F503" t="s">
        <v>2360</v>
      </c>
      <c r="G503" t="s">
        <v>3947</v>
      </c>
      <c r="H503" t="s">
        <v>28</v>
      </c>
      <c r="I503" t="s">
        <v>806</v>
      </c>
    </row>
    <row r="504" spans="1:9" ht="11.25" customHeight="1">
      <c r="A504" t="s">
        <v>2246</v>
      </c>
      <c r="B504" t="s">
        <v>16</v>
      </c>
      <c r="C504" t="s">
        <v>3948</v>
      </c>
      <c r="D504" t="s">
        <v>3949</v>
      </c>
      <c r="E504" t="s">
        <v>3950</v>
      </c>
      <c r="F504" t="s">
        <v>2303</v>
      </c>
      <c r="G504" t="s">
        <v>28</v>
      </c>
      <c r="H504" t="s">
        <v>28</v>
      </c>
      <c r="I504" t="s">
        <v>806</v>
      </c>
    </row>
    <row r="505" spans="1:9" ht="11.25" customHeight="1">
      <c r="A505" t="s">
        <v>2246</v>
      </c>
      <c r="B505" t="s">
        <v>16</v>
      </c>
      <c r="C505" t="s">
        <v>3951</v>
      </c>
      <c r="D505" t="s">
        <v>3952</v>
      </c>
      <c r="E505" t="s">
        <v>3953</v>
      </c>
      <c r="F505" t="s">
        <v>2303</v>
      </c>
      <c r="G505" t="s">
        <v>28</v>
      </c>
      <c r="H505" t="s">
        <v>28</v>
      </c>
      <c r="I505" t="s">
        <v>806</v>
      </c>
    </row>
    <row r="506" spans="1:9" ht="11.25" customHeight="1">
      <c r="A506" t="s">
        <v>2246</v>
      </c>
      <c r="B506" t="s">
        <v>16</v>
      </c>
      <c r="C506" t="s">
        <v>3954</v>
      </c>
      <c r="D506" t="s">
        <v>3955</v>
      </c>
      <c r="E506" t="s">
        <v>3956</v>
      </c>
      <c r="F506" t="s">
        <v>2325</v>
      </c>
      <c r="G506" t="s">
        <v>28</v>
      </c>
      <c r="H506" t="s">
        <v>28</v>
      </c>
      <c r="I506" t="s">
        <v>806</v>
      </c>
    </row>
    <row r="507" spans="1:9" ht="11.25" customHeight="1">
      <c r="A507" t="s">
        <v>2246</v>
      </c>
      <c r="B507" t="s">
        <v>16</v>
      </c>
      <c r="C507" t="s">
        <v>3957</v>
      </c>
      <c r="D507" t="s">
        <v>3958</v>
      </c>
      <c r="E507" t="s">
        <v>3959</v>
      </c>
      <c r="F507" t="s">
        <v>2400</v>
      </c>
      <c r="G507" t="s">
        <v>3960</v>
      </c>
      <c r="H507" t="s">
        <v>28</v>
      </c>
      <c r="I507" t="s">
        <v>806</v>
      </c>
    </row>
    <row r="508" spans="1:9" ht="11.25" customHeight="1">
      <c r="A508" t="s">
        <v>2246</v>
      </c>
      <c r="B508" t="s">
        <v>16</v>
      </c>
      <c r="C508" t="s">
        <v>3961</v>
      </c>
      <c r="D508" t="s">
        <v>3962</v>
      </c>
      <c r="E508" t="s">
        <v>3963</v>
      </c>
      <c r="F508" t="s">
        <v>50</v>
      </c>
      <c r="G508" t="s">
        <v>28</v>
      </c>
      <c r="H508" t="s">
        <v>28</v>
      </c>
      <c r="I508" t="s">
        <v>806</v>
      </c>
    </row>
    <row r="509" spans="1:9" ht="11.25" customHeight="1">
      <c r="A509" t="s">
        <v>2246</v>
      </c>
      <c r="B509" t="s">
        <v>16</v>
      </c>
      <c r="C509" t="s">
        <v>3964</v>
      </c>
      <c r="D509" t="s">
        <v>3965</v>
      </c>
      <c r="E509" t="s">
        <v>3966</v>
      </c>
      <c r="F509" t="s">
        <v>2343</v>
      </c>
      <c r="G509" t="s">
        <v>3967</v>
      </c>
      <c r="H509" t="s">
        <v>28</v>
      </c>
      <c r="I509" t="s">
        <v>806</v>
      </c>
    </row>
    <row r="510" spans="1:9" ht="11.25" customHeight="1">
      <c r="A510" t="s">
        <v>2246</v>
      </c>
      <c r="B510" t="s">
        <v>16</v>
      </c>
      <c r="C510" t="s">
        <v>3968</v>
      </c>
      <c r="D510" t="s">
        <v>3969</v>
      </c>
      <c r="E510" t="s">
        <v>3970</v>
      </c>
      <c r="F510" t="s">
        <v>2332</v>
      </c>
      <c r="G510" t="s">
        <v>28</v>
      </c>
      <c r="H510" t="s">
        <v>28</v>
      </c>
      <c r="I510" t="s">
        <v>806</v>
      </c>
    </row>
    <row r="511" spans="1:9" ht="11.25" customHeight="1">
      <c r="A511" t="s">
        <v>2246</v>
      </c>
      <c r="B511" t="s">
        <v>16</v>
      </c>
      <c r="C511" t="s">
        <v>3971</v>
      </c>
      <c r="D511" t="s">
        <v>3972</v>
      </c>
      <c r="E511" t="s">
        <v>3973</v>
      </c>
      <c r="F511" t="s">
        <v>2582</v>
      </c>
      <c r="G511" t="s">
        <v>28</v>
      </c>
      <c r="H511" t="s">
        <v>28</v>
      </c>
      <c r="I511" t="s">
        <v>806</v>
      </c>
    </row>
    <row r="512" spans="1:9" ht="11.25" customHeight="1">
      <c r="A512" t="s">
        <v>2246</v>
      </c>
      <c r="B512" t="s">
        <v>16</v>
      </c>
      <c r="C512" t="s">
        <v>3974</v>
      </c>
      <c r="D512" t="s">
        <v>3975</v>
      </c>
      <c r="E512" t="s">
        <v>3976</v>
      </c>
      <c r="F512" t="s">
        <v>2758</v>
      </c>
      <c r="G512" t="s">
        <v>28</v>
      </c>
      <c r="H512" t="s">
        <v>28</v>
      </c>
      <c r="I512" t="s">
        <v>806</v>
      </c>
    </row>
    <row r="513" spans="1:9" ht="11.25" customHeight="1">
      <c r="A513" t="s">
        <v>2246</v>
      </c>
      <c r="B513" t="s">
        <v>16</v>
      </c>
      <c r="C513" t="s">
        <v>3977</v>
      </c>
      <c r="D513" t="s">
        <v>3978</v>
      </c>
      <c r="E513" t="s">
        <v>3979</v>
      </c>
      <c r="F513" t="s">
        <v>3793</v>
      </c>
      <c r="G513" t="s">
        <v>3980</v>
      </c>
      <c r="H513" t="s">
        <v>28</v>
      </c>
      <c r="I513" t="s">
        <v>806</v>
      </c>
    </row>
    <row r="514" spans="1:9" ht="11.25" customHeight="1">
      <c r="A514" t="s">
        <v>2246</v>
      </c>
      <c r="B514" t="s">
        <v>16</v>
      </c>
      <c r="C514" t="s">
        <v>3981</v>
      </c>
      <c r="D514" t="s">
        <v>3982</v>
      </c>
      <c r="E514" t="s">
        <v>3983</v>
      </c>
      <c r="F514" t="s">
        <v>2582</v>
      </c>
      <c r="G514" t="s">
        <v>3984</v>
      </c>
      <c r="H514" t="s">
        <v>28</v>
      </c>
      <c r="I514" t="s">
        <v>806</v>
      </c>
    </row>
    <row r="515" spans="1:9" ht="11.25" customHeight="1">
      <c r="A515" t="s">
        <v>2246</v>
      </c>
      <c r="B515" t="s">
        <v>16</v>
      </c>
      <c r="C515" t="s">
        <v>3985</v>
      </c>
      <c r="D515" t="s">
        <v>3986</v>
      </c>
      <c r="E515" t="s">
        <v>3987</v>
      </c>
      <c r="F515" t="s">
        <v>2313</v>
      </c>
      <c r="G515" t="s">
        <v>28</v>
      </c>
      <c r="H515" t="s">
        <v>28</v>
      </c>
      <c r="I515" t="s">
        <v>806</v>
      </c>
    </row>
    <row r="516" spans="1:9" ht="11.25" customHeight="1">
      <c r="A516" t="s">
        <v>2246</v>
      </c>
      <c r="B516" t="s">
        <v>16</v>
      </c>
      <c r="C516" t="s">
        <v>3988</v>
      </c>
      <c r="D516" t="s">
        <v>3989</v>
      </c>
      <c r="E516" t="s">
        <v>3990</v>
      </c>
      <c r="F516" t="s">
        <v>2352</v>
      </c>
      <c r="G516" t="s">
        <v>28</v>
      </c>
      <c r="H516" t="s">
        <v>28</v>
      </c>
      <c r="I516" t="s">
        <v>806</v>
      </c>
    </row>
    <row r="517" spans="1:9" ht="11.25" customHeight="1">
      <c r="A517" t="s">
        <v>2246</v>
      </c>
      <c r="B517" t="s">
        <v>16</v>
      </c>
      <c r="C517" t="s">
        <v>3991</v>
      </c>
      <c r="D517" t="s">
        <v>3992</v>
      </c>
      <c r="E517" t="s">
        <v>3993</v>
      </c>
      <c r="F517" t="s">
        <v>2286</v>
      </c>
      <c r="G517" t="s">
        <v>3994</v>
      </c>
      <c r="H517" t="s">
        <v>28</v>
      </c>
      <c r="I517" t="s">
        <v>806</v>
      </c>
    </row>
    <row r="518" spans="1:9" ht="11.25" customHeight="1">
      <c r="A518" t="s">
        <v>2246</v>
      </c>
      <c r="B518" t="s">
        <v>16</v>
      </c>
      <c r="C518" t="s">
        <v>3995</v>
      </c>
      <c r="D518" t="s">
        <v>3996</v>
      </c>
      <c r="E518" t="s">
        <v>3997</v>
      </c>
      <c r="F518" t="s">
        <v>2574</v>
      </c>
      <c r="G518" t="s">
        <v>28</v>
      </c>
      <c r="H518" t="s">
        <v>28</v>
      </c>
      <c r="I518" t="s">
        <v>806</v>
      </c>
    </row>
    <row r="519" spans="1:9" ht="11.25" customHeight="1">
      <c r="A519" t="s">
        <v>2246</v>
      </c>
      <c r="B519" t="s">
        <v>16</v>
      </c>
      <c r="C519" t="s">
        <v>3998</v>
      </c>
      <c r="D519" t="s">
        <v>3999</v>
      </c>
      <c r="E519" t="s">
        <v>4000</v>
      </c>
      <c r="F519" t="s">
        <v>2758</v>
      </c>
      <c r="G519" t="s">
        <v>28</v>
      </c>
      <c r="H519" t="s">
        <v>28</v>
      </c>
      <c r="I519" t="s">
        <v>806</v>
      </c>
    </row>
    <row r="520" spans="1:9" ht="11.25" customHeight="1">
      <c r="A520" t="s">
        <v>2246</v>
      </c>
      <c r="B520" t="s">
        <v>16</v>
      </c>
      <c r="C520" t="s">
        <v>4001</v>
      </c>
      <c r="D520" t="s">
        <v>4002</v>
      </c>
      <c r="E520" t="s">
        <v>4003</v>
      </c>
      <c r="F520" t="s">
        <v>2332</v>
      </c>
      <c r="G520" t="s">
        <v>28</v>
      </c>
      <c r="H520" t="s">
        <v>28</v>
      </c>
      <c r="I520" t="s">
        <v>806</v>
      </c>
    </row>
    <row r="521" spans="1:9" ht="11.25" customHeight="1">
      <c r="A521" t="s">
        <v>2246</v>
      </c>
      <c r="B521" t="s">
        <v>16</v>
      </c>
      <c r="C521" t="s">
        <v>4004</v>
      </c>
      <c r="D521" t="s">
        <v>4005</v>
      </c>
      <c r="E521" t="s">
        <v>4006</v>
      </c>
      <c r="F521" t="s">
        <v>2750</v>
      </c>
      <c r="G521" t="s">
        <v>28</v>
      </c>
      <c r="H521" t="s">
        <v>28</v>
      </c>
      <c r="I521" t="s">
        <v>806</v>
      </c>
    </row>
    <row r="522" spans="1:9" ht="11.25" customHeight="1">
      <c r="A522" t="s">
        <v>2246</v>
      </c>
      <c r="B522" t="s">
        <v>16</v>
      </c>
      <c r="C522" t="s">
        <v>4007</v>
      </c>
      <c r="D522" t="s">
        <v>4008</v>
      </c>
      <c r="E522" t="s">
        <v>4009</v>
      </c>
      <c r="F522" t="s">
        <v>4010</v>
      </c>
      <c r="G522" t="s">
        <v>28</v>
      </c>
      <c r="H522" t="s">
        <v>28</v>
      </c>
      <c r="I522" t="s">
        <v>806</v>
      </c>
    </row>
    <row r="523" spans="1:9" ht="11.25" customHeight="1">
      <c r="A523" t="s">
        <v>2246</v>
      </c>
      <c r="B523" t="s">
        <v>16</v>
      </c>
      <c r="C523" t="s">
        <v>4011</v>
      </c>
      <c r="D523" t="s">
        <v>4012</v>
      </c>
      <c r="E523" t="s">
        <v>2543</v>
      </c>
      <c r="F523" t="s">
        <v>4013</v>
      </c>
      <c r="G523" t="s">
        <v>28</v>
      </c>
      <c r="H523" t="s">
        <v>28</v>
      </c>
      <c r="I523" t="s">
        <v>806</v>
      </c>
    </row>
    <row r="524" spans="1:9" ht="11.25" customHeight="1">
      <c r="A524" t="s">
        <v>2246</v>
      </c>
      <c r="B524" t="s">
        <v>16</v>
      </c>
      <c r="C524" t="s">
        <v>4014</v>
      </c>
      <c r="D524" t="s">
        <v>4015</v>
      </c>
      <c r="E524" t="s">
        <v>2543</v>
      </c>
      <c r="F524" t="s">
        <v>4016</v>
      </c>
      <c r="G524" t="s">
        <v>28</v>
      </c>
      <c r="H524" t="s">
        <v>28</v>
      </c>
      <c r="I524" t="s">
        <v>806</v>
      </c>
    </row>
    <row r="525" spans="1:9" ht="11.25" customHeight="1">
      <c r="A525" t="s">
        <v>2246</v>
      </c>
      <c r="B525" t="s">
        <v>16</v>
      </c>
      <c r="C525" t="s">
        <v>4017</v>
      </c>
      <c r="D525" t="s">
        <v>4018</v>
      </c>
      <c r="E525" t="s">
        <v>4019</v>
      </c>
      <c r="F525" t="s">
        <v>2303</v>
      </c>
      <c r="G525" t="s">
        <v>28</v>
      </c>
      <c r="H525" t="s">
        <v>28</v>
      </c>
      <c r="I525" t="s">
        <v>806</v>
      </c>
    </row>
    <row r="526" spans="1:9" ht="11.25" customHeight="1">
      <c r="A526" t="s">
        <v>2246</v>
      </c>
      <c r="B526" t="s">
        <v>16</v>
      </c>
      <c r="C526" t="s">
        <v>4020</v>
      </c>
      <c r="D526" t="s">
        <v>4021</v>
      </c>
      <c r="E526" t="s">
        <v>4022</v>
      </c>
      <c r="F526" t="s">
        <v>3858</v>
      </c>
      <c r="G526" t="s">
        <v>28</v>
      </c>
      <c r="H526" t="s">
        <v>28</v>
      </c>
      <c r="I526" t="s">
        <v>806</v>
      </c>
    </row>
    <row r="527" spans="1:9" ht="11.25" customHeight="1">
      <c r="A527" t="s">
        <v>2246</v>
      </c>
      <c r="B527" t="s">
        <v>16</v>
      </c>
      <c r="C527" t="s">
        <v>4023</v>
      </c>
      <c r="D527" t="s">
        <v>4024</v>
      </c>
      <c r="E527" t="s">
        <v>4025</v>
      </c>
      <c r="F527" t="s">
        <v>2360</v>
      </c>
      <c r="G527" t="s">
        <v>3656</v>
      </c>
      <c r="H527" t="s">
        <v>28</v>
      </c>
      <c r="I527" t="s">
        <v>806</v>
      </c>
    </row>
    <row r="528" spans="1:9" ht="11.25" customHeight="1">
      <c r="A528" t="s">
        <v>2246</v>
      </c>
      <c r="B528" t="s">
        <v>16</v>
      </c>
      <c r="C528" t="s">
        <v>4026</v>
      </c>
      <c r="D528" t="s">
        <v>4027</v>
      </c>
      <c r="E528" t="s">
        <v>4028</v>
      </c>
      <c r="F528" t="s">
        <v>2582</v>
      </c>
      <c r="G528" t="s">
        <v>28</v>
      </c>
      <c r="H528" t="s">
        <v>28</v>
      </c>
      <c r="I528" t="s">
        <v>806</v>
      </c>
    </row>
    <row r="529" spans="1:9" ht="11.25" customHeight="1">
      <c r="A529" t="s">
        <v>2246</v>
      </c>
      <c r="B529" t="s">
        <v>16</v>
      </c>
      <c r="C529" t="s">
        <v>4029</v>
      </c>
      <c r="D529" t="s">
        <v>4030</v>
      </c>
      <c r="E529" t="s">
        <v>4031</v>
      </c>
      <c r="F529" t="s">
        <v>3761</v>
      </c>
      <c r="G529" t="s">
        <v>28</v>
      </c>
      <c r="H529" t="s">
        <v>28</v>
      </c>
      <c r="I529" t="s">
        <v>806</v>
      </c>
    </row>
    <row r="530" spans="1:9" ht="11.25" customHeight="1">
      <c r="A530" t="s">
        <v>2246</v>
      </c>
      <c r="B530" t="s">
        <v>16</v>
      </c>
      <c r="C530" t="s">
        <v>4032</v>
      </c>
      <c r="D530" t="s">
        <v>4033</v>
      </c>
      <c r="E530" t="s">
        <v>4034</v>
      </c>
      <c r="F530" t="s">
        <v>2250</v>
      </c>
      <c r="G530" t="s">
        <v>28</v>
      </c>
      <c r="H530" t="s">
        <v>28</v>
      </c>
      <c r="I530" t="s">
        <v>806</v>
      </c>
    </row>
    <row r="531" spans="1:9" ht="11.25" customHeight="1">
      <c r="A531" t="s">
        <v>2246</v>
      </c>
      <c r="B531" t="s">
        <v>16</v>
      </c>
      <c r="C531" t="s">
        <v>4035</v>
      </c>
      <c r="D531" t="s">
        <v>4036</v>
      </c>
      <c r="E531" t="s">
        <v>4037</v>
      </c>
      <c r="F531" t="s">
        <v>2352</v>
      </c>
      <c r="G531" t="s">
        <v>28</v>
      </c>
      <c r="H531" t="s">
        <v>28</v>
      </c>
      <c r="I531" t="s">
        <v>806</v>
      </c>
    </row>
    <row r="532" spans="1:9" ht="11.25" customHeight="1">
      <c r="A532" t="s">
        <v>2246</v>
      </c>
      <c r="B532" t="s">
        <v>16</v>
      </c>
      <c r="C532" t="s">
        <v>4038</v>
      </c>
      <c r="D532" t="s">
        <v>4039</v>
      </c>
      <c r="E532" t="s">
        <v>4040</v>
      </c>
      <c r="F532" t="s">
        <v>2268</v>
      </c>
      <c r="G532" t="s">
        <v>28</v>
      </c>
      <c r="H532" t="s">
        <v>28</v>
      </c>
      <c r="I532" t="s">
        <v>806</v>
      </c>
    </row>
    <row r="533" spans="1:9" ht="11.25" customHeight="1">
      <c r="A533" t="s">
        <v>2246</v>
      </c>
      <c r="B533" t="s">
        <v>16</v>
      </c>
      <c r="C533" t="s">
        <v>4041</v>
      </c>
      <c r="D533" t="s">
        <v>4042</v>
      </c>
      <c r="E533" t="s">
        <v>4043</v>
      </c>
      <c r="F533" t="s">
        <v>50</v>
      </c>
      <c r="G533" t="s">
        <v>28</v>
      </c>
      <c r="H533" t="s">
        <v>28</v>
      </c>
      <c r="I533" t="s">
        <v>806</v>
      </c>
    </row>
    <row r="534" spans="1:9" ht="11.25" customHeight="1">
      <c r="A534" t="s">
        <v>2246</v>
      </c>
      <c r="B534" t="s">
        <v>16</v>
      </c>
      <c r="C534" t="s">
        <v>4044</v>
      </c>
      <c r="D534" t="s">
        <v>4045</v>
      </c>
      <c r="E534" t="s">
        <v>4046</v>
      </c>
      <c r="F534" t="s">
        <v>4047</v>
      </c>
      <c r="G534" t="s">
        <v>28</v>
      </c>
      <c r="H534" t="s">
        <v>28</v>
      </c>
      <c r="I534" t="s">
        <v>806</v>
      </c>
    </row>
    <row r="535" spans="1:9" ht="11.25" customHeight="1">
      <c r="A535" t="s">
        <v>2246</v>
      </c>
      <c r="B535" t="s">
        <v>16</v>
      </c>
      <c r="C535" t="s">
        <v>4048</v>
      </c>
      <c r="D535" t="s">
        <v>4049</v>
      </c>
      <c r="E535" t="s">
        <v>4050</v>
      </c>
      <c r="F535" t="s">
        <v>2574</v>
      </c>
      <c r="G535" t="s">
        <v>3656</v>
      </c>
      <c r="H535" t="s">
        <v>28</v>
      </c>
      <c r="I535" t="s">
        <v>806</v>
      </c>
    </row>
    <row r="536" spans="1:9" ht="11.25" customHeight="1">
      <c r="A536" t="s">
        <v>2246</v>
      </c>
      <c r="B536" t="s">
        <v>16</v>
      </c>
      <c r="C536" t="s">
        <v>4051</v>
      </c>
      <c r="D536" t="s">
        <v>4052</v>
      </c>
      <c r="E536" t="s">
        <v>4053</v>
      </c>
      <c r="F536" t="s">
        <v>2370</v>
      </c>
      <c r="G536" t="s">
        <v>28</v>
      </c>
      <c r="H536" t="s">
        <v>28</v>
      </c>
      <c r="I536" t="s">
        <v>806</v>
      </c>
    </row>
    <row r="537" spans="1:9" ht="11.25" customHeight="1">
      <c r="A537" t="s">
        <v>2246</v>
      </c>
      <c r="B537" t="s">
        <v>16</v>
      </c>
      <c r="C537" t="s">
        <v>4054</v>
      </c>
      <c r="D537" t="s">
        <v>4055</v>
      </c>
      <c r="E537" t="s">
        <v>4056</v>
      </c>
      <c r="F537" t="s">
        <v>4057</v>
      </c>
      <c r="G537" t="s">
        <v>28</v>
      </c>
      <c r="H537" t="s">
        <v>28</v>
      </c>
      <c r="I537" t="s">
        <v>806</v>
      </c>
    </row>
    <row r="538" spans="1:9" ht="11.25" customHeight="1">
      <c r="A538" t="s">
        <v>2246</v>
      </c>
      <c r="B538" t="s">
        <v>16</v>
      </c>
      <c r="C538" t="s">
        <v>4058</v>
      </c>
      <c r="D538" t="s">
        <v>4059</v>
      </c>
      <c r="E538" t="s">
        <v>4060</v>
      </c>
      <c r="F538" t="s">
        <v>2384</v>
      </c>
      <c r="G538" t="s">
        <v>28</v>
      </c>
      <c r="H538" t="s">
        <v>28</v>
      </c>
      <c r="I538" t="s">
        <v>806</v>
      </c>
    </row>
    <row r="539" spans="1:9" ht="11.25" customHeight="1">
      <c r="A539" t="s">
        <v>2246</v>
      </c>
      <c r="B539" t="s">
        <v>16</v>
      </c>
      <c r="C539" t="s">
        <v>4061</v>
      </c>
      <c r="D539" t="s">
        <v>4062</v>
      </c>
      <c r="E539" t="s">
        <v>4063</v>
      </c>
      <c r="F539" t="s">
        <v>2268</v>
      </c>
      <c r="G539" t="s">
        <v>28</v>
      </c>
      <c r="H539" t="s">
        <v>28</v>
      </c>
      <c r="I539" t="s">
        <v>806</v>
      </c>
    </row>
    <row r="540" spans="1:9" ht="11.25" customHeight="1">
      <c r="A540" t="s">
        <v>2246</v>
      </c>
      <c r="B540" t="s">
        <v>16</v>
      </c>
      <c r="C540" t="s">
        <v>4064</v>
      </c>
      <c r="D540" t="s">
        <v>4065</v>
      </c>
      <c r="E540" t="s">
        <v>4066</v>
      </c>
      <c r="F540" t="s">
        <v>2370</v>
      </c>
      <c r="G540" t="s">
        <v>28</v>
      </c>
      <c r="H540" t="s">
        <v>28</v>
      </c>
      <c r="I540" t="s">
        <v>806</v>
      </c>
    </row>
    <row r="541" spans="1:9" ht="11.25" customHeight="1">
      <c r="A541" t="s">
        <v>2246</v>
      </c>
      <c r="B541" t="s">
        <v>16</v>
      </c>
      <c r="C541" t="s">
        <v>4067</v>
      </c>
      <c r="D541" t="s">
        <v>4068</v>
      </c>
      <c r="E541" t="s">
        <v>4069</v>
      </c>
      <c r="F541" t="s">
        <v>2313</v>
      </c>
      <c r="G541" t="s">
        <v>4070</v>
      </c>
      <c r="H541" t="s">
        <v>28</v>
      </c>
      <c r="I541" t="s">
        <v>806</v>
      </c>
    </row>
    <row r="542" spans="1:9" ht="11.25" customHeight="1">
      <c r="A542" t="s">
        <v>2246</v>
      </c>
      <c r="B542" t="s">
        <v>16</v>
      </c>
      <c r="C542" t="s">
        <v>4071</v>
      </c>
      <c r="D542" t="s">
        <v>4072</v>
      </c>
      <c r="E542" t="s">
        <v>4073</v>
      </c>
      <c r="F542" t="s">
        <v>2343</v>
      </c>
      <c r="G542" t="s">
        <v>4074</v>
      </c>
      <c r="H542" t="s">
        <v>28</v>
      </c>
      <c r="I542" t="s">
        <v>806</v>
      </c>
    </row>
    <row r="543" spans="1:9" ht="11.25" customHeight="1">
      <c r="A543" t="s">
        <v>2246</v>
      </c>
      <c r="B543" t="s">
        <v>16</v>
      </c>
      <c r="C543" t="s">
        <v>4075</v>
      </c>
      <c r="D543" t="s">
        <v>4076</v>
      </c>
      <c r="E543" t="s">
        <v>4077</v>
      </c>
      <c r="F543" t="s">
        <v>3188</v>
      </c>
      <c r="G543" t="s">
        <v>4078</v>
      </c>
      <c r="H543" t="s">
        <v>28</v>
      </c>
      <c r="I543" t="s">
        <v>806</v>
      </c>
    </row>
    <row r="544" spans="1:9" ht="11.25" customHeight="1">
      <c r="A544" t="s">
        <v>2246</v>
      </c>
      <c r="B544" t="s">
        <v>16</v>
      </c>
      <c r="C544" t="s">
        <v>4079</v>
      </c>
      <c r="D544" t="s">
        <v>4080</v>
      </c>
      <c r="E544" t="s">
        <v>4081</v>
      </c>
      <c r="F544" t="s">
        <v>4082</v>
      </c>
      <c r="G544" t="s">
        <v>4083</v>
      </c>
      <c r="H544" t="s">
        <v>28</v>
      </c>
      <c r="I544" t="s">
        <v>806</v>
      </c>
    </row>
    <row r="545" spans="1:9" ht="11.25" customHeight="1">
      <c r="A545" t="s">
        <v>2246</v>
      </c>
      <c r="B545" t="s">
        <v>16</v>
      </c>
      <c r="C545" t="s">
        <v>4084</v>
      </c>
      <c r="D545" t="s">
        <v>4085</v>
      </c>
      <c r="E545" t="s">
        <v>4086</v>
      </c>
      <c r="F545" t="s">
        <v>2295</v>
      </c>
      <c r="G545" t="s">
        <v>4087</v>
      </c>
      <c r="H545" t="s">
        <v>28</v>
      </c>
      <c r="I545" t="s">
        <v>806</v>
      </c>
    </row>
    <row r="546" spans="1:9" ht="11.25" customHeight="1">
      <c r="A546" t="s">
        <v>2246</v>
      </c>
      <c r="B546" t="s">
        <v>16</v>
      </c>
      <c r="C546" t="s">
        <v>4088</v>
      </c>
      <c r="D546" t="s">
        <v>4089</v>
      </c>
      <c r="E546" t="s">
        <v>4090</v>
      </c>
      <c r="F546" t="s">
        <v>2332</v>
      </c>
      <c r="G546" t="s">
        <v>28</v>
      </c>
      <c r="H546" t="s">
        <v>28</v>
      </c>
      <c r="I546" t="s">
        <v>806</v>
      </c>
    </row>
    <row r="547" spans="1:9" ht="11.25" customHeight="1">
      <c r="A547" t="s">
        <v>2246</v>
      </c>
      <c r="B547" t="s">
        <v>16</v>
      </c>
      <c r="C547" t="s">
        <v>4091</v>
      </c>
      <c r="D547" t="s">
        <v>4092</v>
      </c>
      <c r="E547" t="s">
        <v>4060</v>
      </c>
      <c r="F547" t="s">
        <v>4093</v>
      </c>
      <c r="G547" t="s">
        <v>28</v>
      </c>
      <c r="H547" t="s">
        <v>28</v>
      </c>
      <c r="I547" t="s">
        <v>806</v>
      </c>
    </row>
    <row r="548" spans="1:9" ht="11.25" customHeight="1">
      <c r="A548" t="s">
        <v>2246</v>
      </c>
      <c r="B548" t="s">
        <v>16</v>
      </c>
      <c r="C548" t="s">
        <v>4094</v>
      </c>
      <c r="D548" t="s">
        <v>4095</v>
      </c>
      <c r="E548" t="s">
        <v>4060</v>
      </c>
      <c r="F548" t="s">
        <v>2819</v>
      </c>
      <c r="G548" t="s">
        <v>4096</v>
      </c>
      <c r="H548" t="s">
        <v>28</v>
      </c>
      <c r="I548" t="s">
        <v>806</v>
      </c>
    </row>
    <row r="549" spans="1:9" ht="11.25" customHeight="1">
      <c r="A549" t="s">
        <v>2246</v>
      </c>
      <c r="B549" t="s">
        <v>16</v>
      </c>
      <c r="C549" t="s">
        <v>4097</v>
      </c>
      <c r="D549" t="s">
        <v>4098</v>
      </c>
      <c r="E549" t="s">
        <v>4099</v>
      </c>
      <c r="F549" t="s">
        <v>2536</v>
      </c>
      <c r="G549" t="s">
        <v>28</v>
      </c>
      <c r="H549" t="s">
        <v>28</v>
      </c>
      <c r="I549" t="s">
        <v>806</v>
      </c>
    </row>
    <row r="550" spans="1:9" ht="11.25" customHeight="1">
      <c r="A550" t="s">
        <v>2246</v>
      </c>
      <c r="B550" t="s">
        <v>16</v>
      </c>
      <c r="C550" t="s">
        <v>28</v>
      </c>
      <c r="D550" t="s">
        <v>4100</v>
      </c>
      <c r="E550" t="s">
        <v>4101</v>
      </c>
      <c r="F550" t="s">
        <v>2384</v>
      </c>
      <c r="G550" t="s">
        <v>28</v>
      </c>
      <c r="H550" t="s">
        <v>28</v>
      </c>
      <c r="I550" t="s">
        <v>806</v>
      </c>
    </row>
    <row r="551" spans="1:9" ht="11.25" customHeight="1">
      <c r="A551" t="s">
        <v>2246</v>
      </c>
      <c r="B551" t="s">
        <v>16</v>
      </c>
      <c r="C551" t="s">
        <v>4102</v>
      </c>
      <c r="D551" t="s">
        <v>4103</v>
      </c>
      <c r="E551" t="s">
        <v>4104</v>
      </c>
      <c r="F551" t="s">
        <v>2286</v>
      </c>
      <c r="G551" t="s">
        <v>4105</v>
      </c>
      <c r="H551" t="s">
        <v>28</v>
      </c>
      <c r="I551" t="s">
        <v>806</v>
      </c>
    </row>
    <row r="552" spans="1:9" ht="11.25" customHeight="1">
      <c r="A552" t="s">
        <v>2246</v>
      </c>
      <c r="B552" t="s">
        <v>16</v>
      </c>
      <c r="C552" t="s">
        <v>4106</v>
      </c>
      <c r="D552" t="s">
        <v>4107</v>
      </c>
      <c r="E552" t="s">
        <v>4108</v>
      </c>
      <c r="F552" t="s">
        <v>3869</v>
      </c>
      <c r="G552" t="s">
        <v>28</v>
      </c>
      <c r="H552" t="s">
        <v>28</v>
      </c>
      <c r="I552" t="s">
        <v>806</v>
      </c>
    </row>
    <row r="553" spans="1:9" ht="11.25" customHeight="1">
      <c r="A553" t="s">
        <v>2246</v>
      </c>
      <c r="B553" t="s">
        <v>16</v>
      </c>
      <c r="C553" t="s">
        <v>4109</v>
      </c>
      <c r="D553" t="s">
        <v>4110</v>
      </c>
      <c r="E553" t="s">
        <v>4111</v>
      </c>
      <c r="F553" t="s">
        <v>3761</v>
      </c>
      <c r="G553" t="s">
        <v>28</v>
      </c>
      <c r="H553" t="s">
        <v>28</v>
      </c>
      <c r="I553" t="s">
        <v>806</v>
      </c>
    </row>
    <row r="554" spans="1:9" ht="11.25" customHeight="1">
      <c r="A554" t="s">
        <v>2246</v>
      </c>
      <c r="B554" t="s">
        <v>16</v>
      </c>
      <c r="C554" t="s">
        <v>4112</v>
      </c>
      <c r="D554" t="s">
        <v>4113</v>
      </c>
      <c r="E554" t="s">
        <v>4114</v>
      </c>
      <c r="F554" t="s">
        <v>2250</v>
      </c>
      <c r="G554" t="s">
        <v>28</v>
      </c>
      <c r="H554" t="s">
        <v>28</v>
      </c>
      <c r="I554" t="s">
        <v>806</v>
      </c>
    </row>
    <row r="555" spans="1:9" ht="11.25" customHeight="1">
      <c r="A555" t="s">
        <v>2246</v>
      </c>
      <c r="B555" t="s">
        <v>16</v>
      </c>
      <c r="C555" t="s">
        <v>4115</v>
      </c>
      <c r="D555" t="s">
        <v>4116</v>
      </c>
      <c r="E555" t="s">
        <v>4117</v>
      </c>
      <c r="F555" t="s">
        <v>3609</v>
      </c>
      <c r="G555" t="s">
        <v>28</v>
      </c>
      <c r="H555" t="s">
        <v>28</v>
      </c>
      <c r="I555" t="s">
        <v>806</v>
      </c>
    </row>
    <row r="556" spans="1:9" ht="11.25" customHeight="1">
      <c r="A556" t="s">
        <v>2246</v>
      </c>
      <c r="B556" t="s">
        <v>16</v>
      </c>
      <c r="C556" t="s">
        <v>4118</v>
      </c>
      <c r="D556" t="s">
        <v>4119</v>
      </c>
      <c r="E556" t="s">
        <v>4120</v>
      </c>
      <c r="F556" t="s">
        <v>2343</v>
      </c>
      <c r="G556" t="s">
        <v>28</v>
      </c>
      <c r="H556" t="s">
        <v>28</v>
      </c>
      <c r="I556" t="s">
        <v>806</v>
      </c>
    </row>
    <row r="557" spans="1:9" ht="11.25" customHeight="1">
      <c r="A557" t="s">
        <v>2246</v>
      </c>
      <c r="B557" t="s">
        <v>16</v>
      </c>
      <c r="C557" t="s">
        <v>4121</v>
      </c>
      <c r="D557" t="s">
        <v>4122</v>
      </c>
      <c r="E557" t="s">
        <v>4123</v>
      </c>
      <c r="F557" t="s">
        <v>50</v>
      </c>
      <c r="G557" t="s">
        <v>28</v>
      </c>
      <c r="H557" t="s">
        <v>28</v>
      </c>
      <c r="I557" t="s">
        <v>806</v>
      </c>
    </row>
    <row r="558" spans="1:9" ht="11.25" customHeight="1">
      <c r="A558" t="s">
        <v>2246</v>
      </c>
      <c r="B558" t="s">
        <v>16</v>
      </c>
      <c r="C558" t="s">
        <v>4124</v>
      </c>
      <c r="D558" t="s">
        <v>4125</v>
      </c>
      <c r="E558" t="s">
        <v>4126</v>
      </c>
      <c r="F558" t="s">
        <v>2250</v>
      </c>
      <c r="G558" t="s">
        <v>4127</v>
      </c>
      <c r="H558" t="s">
        <v>28</v>
      </c>
      <c r="I558" t="s">
        <v>806</v>
      </c>
    </row>
    <row r="559" spans="1:9" ht="11.25" customHeight="1">
      <c r="A559" t="s">
        <v>2246</v>
      </c>
      <c r="B559" t="s">
        <v>16</v>
      </c>
      <c r="C559" t="s">
        <v>4128</v>
      </c>
      <c r="D559" t="s">
        <v>4129</v>
      </c>
      <c r="E559" t="s">
        <v>4130</v>
      </c>
      <c r="F559" t="s">
        <v>4131</v>
      </c>
      <c r="G559" t="s">
        <v>28</v>
      </c>
      <c r="H559" t="s">
        <v>28</v>
      </c>
      <c r="I559" t="s">
        <v>806</v>
      </c>
    </row>
    <row r="560" spans="1:9" ht="11.25" customHeight="1">
      <c r="A560" t="s">
        <v>2246</v>
      </c>
      <c r="B560" t="s">
        <v>16</v>
      </c>
      <c r="C560" t="s">
        <v>4132</v>
      </c>
      <c r="D560" t="s">
        <v>4133</v>
      </c>
      <c r="E560" t="s">
        <v>4134</v>
      </c>
      <c r="F560" t="s">
        <v>4135</v>
      </c>
      <c r="G560" t="s">
        <v>4136</v>
      </c>
      <c r="H560" t="s">
        <v>28</v>
      </c>
      <c r="I560" t="s">
        <v>806</v>
      </c>
    </row>
    <row r="561" spans="1:9" ht="11.25" customHeight="1">
      <c r="A561" t="s">
        <v>2246</v>
      </c>
      <c r="B561" t="s">
        <v>16</v>
      </c>
      <c r="C561" t="s">
        <v>4137</v>
      </c>
      <c r="D561" t="s">
        <v>4138</v>
      </c>
      <c r="E561" t="s">
        <v>4139</v>
      </c>
      <c r="F561" t="s">
        <v>2325</v>
      </c>
      <c r="G561" t="s">
        <v>28</v>
      </c>
      <c r="H561" t="s">
        <v>28</v>
      </c>
      <c r="I561" t="s">
        <v>806</v>
      </c>
    </row>
    <row r="562" spans="1:9" ht="11.25" customHeight="1">
      <c r="A562" t="s">
        <v>2246</v>
      </c>
      <c r="B562" t="s">
        <v>16</v>
      </c>
      <c r="C562" t="s">
        <v>4140</v>
      </c>
      <c r="D562" t="s">
        <v>4141</v>
      </c>
      <c r="E562" t="s">
        <v>4142</v>
      </c>
      <c r="F562" t="s">
        <v>2250</v>
      </c>
      <c r="G562" t="s">
        <v>28</v>
      </c>
      <c r="H562" t="s">
        <v>28</v>
      </c>
      <c r="I562" t="s">
        <v>806</v>
      </c>
    </row>
    <row r="563" spans="1:9" ht="11.25" customHeight="1">
      <c r="A563" t="s">
        <v>2246</v>
      </c>
      <c r="B563" t="s">
        <v>16</v>
      </c>
      <c r="C563" t="s">
        <v>4143</v>
      </c>
      <c r="D563" t="s">
        <v>4144</v>
      </c>
      <c r="E563" t="s">
        <v>4145</v>
      </c>
      <c r="F563" t="s">
        <v>2250</v>
      </c>
      <c r="G563" t="s">
        <v>4146</v>
      </c>
      <c r="H563" t="s">
        <v>28</v>
      </c>
      <c r="I563" t="s">
        <v>806</v>
      </c>
    </row>
    <row r="564" spans="1:9" ht="11.25" customHeight="1">
      <c r="A564" t="s">
        <v>2246</v>
      </c>
      <c r="B564" t="s">
        <v>16</v>
      </c>
      <c r="C564" t="s">
        <v>4147</v>
      </c>
      <c r="D564" t="s">
        <v>4148</v>
      </c>
      <c r="E564" t="s">
        <v>4149</v>
      </c>
      <c r="F564" t="s">
        <v>2384</v>
      </c>
      <c r="G564" t="s">
        <v>28</v>
      </c>
      <c r="H564" t="s">
        <v>28</v>
      </c>
      <c r="I564" t="s">
        <v>806</v>
      </c>
    </row>
    <row r="565" spans="1:9" ht="11.25" customHeight="1">
      <c r="A565" t="s">
        <v>2246</v>
      </c>
      <c r="B565" t="s">
        <v>16</v>
      </c>
      <c r="C565" t="s">
        <v>4150</v>
      </c>
      <c r="D565" t="s">
        <v>4151</v>
      </c>
      <c r="E565" t="s">
        <v>4152</v>
      </c>
      <c r="F565" t="s">
        <v>4153</v>
      </c>
      <c r="G565" t="s">
        <v>28</v>
      </c>
      <c r="H565" t="s">
        <v>28</v>
      </c>
      <c r="I565" t="s">
        <v>806</v>
      </c>
    </row>
    <row r="566" spans="1:9" ht="11.25" customHeight="1">
      <c r="A566" t="s">
        <v>2246</v>
      </c>
      <c r="B566" t="s">
        <v>16</v>
      </c>
      <c r="C566" t="s">
        <v>4154</v>
      </c>
      <c r="D566" t="s">
        <v>4155</v>
      </c>
      <c r="E566" t="s">
        <v>4156</v>
      </c>
      <c r="F566" t="s">
        <v>2560</v>
      </c>
      <c r="G566" t="s">
        <v>28</v>
      </c>
      <c r="H566" t="s">
        <v>28</v>
      </c>
      <c r="I566" t="s">
        <v>806</v>
      </c>
    </row>
    <row r="567" spans="1:9" ht="11.25" customHeight="1">
      <c r="A567" t="s">
        <v>2246</v>
      </c>
      <c r="B567" t="s">
        <v>16</v>
      </c>
      <c r="C567" t="s">
        <v>4157</v>
      </c>
      <c r="D567" t="s">
        <v>4158</v>
      </c>
      <c r="E567" t="s">
        <v>4159</v>
      </c>
      <c r="F567" t="s">
        <v>2384</v>
      </c>
      <c r="G567" t="s">
        <v>28</v>
      </c>
      <c r="H567" t="s">
        <v>28</v>
      </c>
      <c r="I567" t="s">
        <v>806</v>
      </c>
    </row>
    <row r="568" spans="1:9" ht="11.25" customHeight="1">
      <c r="A568" t="s">
        <v>2246</v>
      </c>
      <c r="B568" t="s">
        <v>16</v>
      </c>
      <c r="C568" t="s">
        <v>4160</v>
      </c>
      <c r="D568" t="s">
        <v>4161</v>
      </c>
      <c r="E568" t="s">
        <v>4162</v>
      </c>
      <c r="F568" t="s">
        <v>2343</v>
      </c>
      <c r="G568" t="s">
        <v>28</v>
      </c>
      <c r="H568" t="s">
        <v>28</v>
      </c>
      <c r="I568" t="s">
        <v>806</v>
      </c>
    </row>
    <row r="569" spans="1:9" ht="11.25" customHeight="1">
      <c r="A569" t="s">
        <v>2246</v>
      </c>
      <c r="B569" t="s">
        <v>16</v>
      </c>
      <c r="C569" t="s">
        <v>4163</v>
      </c>
      <c r="D569" t="s">
        <v>4164</v>
      </c>
      <c r="E569" t="s">
        <v>4165</v>
      </c>
      <c r="F569" t="s">
        <v>2360</v>
      </c>
      <c r="G569" t="s">
        <v>4166</v>
      </c>
      <c r="H569" t="s">
        <v>28</v>
      </c>
      <c r="I569" t="s">
        <v>806</v>
      </c>
    </row>
    <row r="570" spans="1:9" ht="11.25" customHeight="1">
      <c r="A570" t="s">
        <v>2246</v>
      </c>
      <c r="B570" t="s">
        <v>16</v>
      </c>
      <c r="C570" t="s">
        <v>4167</v>
      </c>
      <c r="D570" t="s">
        <v>4168</v>
      </c>
      <c r="E570" t="s">
        <v>4169</v>
      </c>
      <c r="F570" t="s">
        <v>2574</v>
      </c>
      <c r="G570" t="s">
        <v>28</v>
      </c>
      <c r="H570" t="s">
        <v>28</v>
      </c>
      <c r="I570" t="s">
        <v>806</v>
      </c>
    </row>
    <row r="571" spans="1:9" ht="11.25" customHeight="1">
      <c r="A571" t="s">
        <v>2246</v>
      </c>
      <c r="B571" t="s">
        <v>16</v>
      </c>
      <c r="C571" t="s">
        <v>4170</v>
      </c>
      <c r="D571" t="s">
        <v>4171</v>
      </c>
      <c r="E571" t="s">
        <v>4172</v>
      </c>
      <c r="F571" t="s">
        <v>3125</v>
      </c>
      <c r="G571" t="s">
        <v>28</v>
      </c>
      <c r="H571" t="s">
        <v>28</v>
      </c>
      <c r="I571" t="s">
        <v>806</v>
      </c>
    </row>
    <row r="572" spans="1:9" ht="11.25" customHeight="1">
      <c r="A572" t="s">
        <v>2246</v>
      </c>
      <c r="B572" t="s">
        <v>16</v>
      </c>
      <c r="C572" t="s">
        <v>4173</v>
      </c>
      <c r="D572" t="s">
        <v>4174</v>
      </c>
      <c r="E572" t="s">
        <v>4149</v>
      </c>
      <c r="F572" t="s">
        <v>2750</v>
      </c>
      <c r="G572" t="s">
        <v>4175</v>
      </c>
      <c r="H572" t="s">
        <v>28</v>
      </c>
      <c r="I572" t="s">
        <v>806</v>
      </c>
    </row>
    <row r="573" spans="1:9" ht="11.25" customHeight="1">
      <c r="A573" t="s">
        <v>2246</v>
      </c>
      <c r="B573" t="s">
        <v>16</v>
      </c>
      <c r="C573" t="s">
        <v>4176</v>
      </c>
      <c r="D573" t="s">
        <v>4177</v>
      </c>
      <c r="E573" t="s">
        <v>4178</v>
      </c>
      <c r="F573" t="s">
        <v>3188</v>
      </c>
      <c r="G573" t="s">
        <v>28</v>
      </c>
      <c r="H573" t="s">
        <v>28</v>
      </c>
      <c r="I573" t="s">
        <v>806</v>
      </c>
    </row>
    <row r="574" spans="1:9" ht="11.25" customHeight="1">
      <c r="A574" t="s">
        <v>2246</v>
      </c>
      <c r="B574" t="s">
        <v>16</v>
      </c>
      <c r="C574" t="s">
        <v>4179</v>
      </c>
      <c r="D574" t="s">
        <v>4180</v>
      </c>
      <c r="E574" t="s">
        <v>4081</v>
      </c>
      <c r="F574" t="s">
        <v>4181</v>
      </c>
      <c r="G574" t="s">
        <v>4182</v>
      </c>
      <c r="H574" t="s">
        <v>28</v>
      </c>
      <c r="I574" t="s">
        <v>806</v>
      </c>
    </row>
    <row r="575" spans="1:9" ht="11.25" customHeight="1">
      <c r="A575" t="s">
        <v>2246</v>
      </c>
      <c r="B575" t="s">
        <v>16</v>
      </c>
      <c r="C575" t="s">
        <v>4183</v>
      </c>
      <c r="D575" t="s">
        <v>4184</v>
      </c>
      <c r="E575" t="s">
        <v>2573</v>
      </c>
      <c r="F575" t="s">
        <v>4185</v>
      </c>
      <c r="G575" t="s">
        <v>28</v>
      </c>
      <c r="H575" t="s">
        <v>28</v>
      </c>
      <c r="I575" t="s">
        <v>806</v>
      </c>
    </row>
    <row r="576" spans="1:9" ht="11.25" customHeight="1">
      <c r="A576" t="s">
        <v>2246</v>
      </c>
      <c r="B576" t="s">
        <v>16</v>
      </c>
      <c r="C576" t="s">
        <v>4186</v>
      </c>
      <c r="D576" t="s">
        <v>4187</v>
      </c>
      <c r="E576" t="s">
        <v>2573</v>
      </c>
      <c r="F576" t="s">
        <v>2668</v>
      </c>
      <c r="G576" t="s">
        <v>4188</v>
      </c>
      <c r="H576" t="s">
        <v>28</v>
      </c>
      <c r="I576" t="s">
        <v>806</v>
      </c>
    </row>
    <row r="577" spans="1:9" ht="11.25" customHeight="1">
      <c r="A577" t="s">
        <v>2246</v>
      </c>
      <c r="B577" t="s">
        <v>16</v>
      </c>
      <c r="C577" t="s">
        <v>4189</v>
      </c>
      <c r="D577" t="s">
        <v>4190</v>
      </c>
      <c r="E577" t="s">
        <v>2486</v>
      </c>
      <c r="F577" t="s">
        <v>4191</v>
      </c>
      <c r="G577" t="s">
        <v>28</v>
      </c>
      <c r="H577" t="s">
        <v>28</v>
      </c>
      <c r="I577" t="s">
        <v>806</v>
      </c>
    </row>
    <row r="578" spans="1:9" ht="11.25" customHeight="1">
      <c r="A578" t="s">
        <v>2246</v>
      </c>
      <c r="B578" t="s">
        <v>16</v>
      </c>
      <c r="C578" t="s">
        <v>4192</v>
      </c>
      <c r="D578" t="s">
        <v>4193</v>
      </c>
      <c r="E578" t="s">
        <v>4194</v>
      </c>
      <c r="F578" t="s">
        <v>4195</v>
      </c>
      <c r="G578" t="s">
        <v>4196</v>
      </c>
      <c r="H578" t="s">
        <v>28</v>
      </c>
      <c r="I578" t="s">
        <v>806</v>
      </c>
    </row>
    <row r="579" spans="1:9" ht="11.25" customHeight="1">
      <c r="A579" t="s">
        <v>2246</v>
      </c>
      <c r="B579" t="s">
        <v>16</v>
      </c>
      <c r="C579" t="s">
        <v>4197</v>
      </c>
      <c r="D579" t="s">
        <v>4198</v>
      </c>
      <c r="E579" t="s">
        <v>4199</v>
      </c>
      <c r="F579" t="s">
        <v>4200</v>
      </c>
      <c r="G579" t="s">
        <v>28</v>
      </c>
      <c r="H579" t="s">
        <v>28</v>
      </c>
      <c r="I579" t="s">
        <v>806</v>
      </c>
    </row>
    <row r="580" spans="1:9" ht="11.25" customHeight="1">
      <c r="A580" t="s">
        <v>2246</v>
      </c>
      <c r="B580" t="s">
        <v>16</v>
      </c>
      <c r="C580" t="s">
        <v>4201</v>
      </c>
      <c r="D580" t="s">
        <v>4202</v>
      </c>
      <c r="E580" t="s">
        <v>2377</v>
      </c>
      <c r="F580" t="s">
        <v>4203</v>
      </c>
      <c r="G580" t="s">
        <v>28</v>
      </c>
      <c r="H580" t="s">
        <v>28</v>
      </c>
      <c r="I580" t="s">
        <v>806</v>
      </c>
    </row>
    <row r="581" spans="1:9" ht="11.25" customHeight="1">
      <c r="A581" t="s">
        <v>2246</v>
      </c>
      <c r="B581" t="s">
        <v>16</v>
      </c>
      <c r="C581" t="s">
        <v>4204</v>
      </c>
      <c r="D581" t="s">
        <v>4205</v>
      </c>
      <c r="E581" t="s">
        <v>4206</v>
      </c>
      <c r="F581" t="s">
        <v>4207</v>
      </c>
      <c r="G581" t="s">
        <v>28</v>
      </c>
      <c r="H581" t="s">
        <v>28</v>
      </c>
      <c r="I581" t="s">
        <v>806</v>
      </c>
    </row>
    <row r="582" spans="1:9" ht="11.25" customHeight="1">
      <c r="A582" t="s">
        <v>2246</v>
      </c>
      <c r="B582" t="s">
        <v>16</v>
      </c>
      <c r="C582" t="s">
        <v>2247</v>
      </c>
      <c r="D582" t="s">
        <v>2248</v>
      </c>
      <c r="E582" t="s">
        <v>2249</v>
      </c>
      <c r="F582" t="s">
        <v>2250</v>
      </c>
      <c r="G582" t="s">
        <v>2251</v>
      </c>
      <c r="H582" t="s">
        <v>28</v>
      </c>
      <c r="I582" t="s">
        <v>892</v>
      </c>
    </row>
    <row r="583" spans="1:9" ht="11.25" customHeight="1">
      <c r="A583" t="s">
        <v>2246</v>
      </c>
      <c r="B583" t="s">
        <v>16</v>
      </c>
      <c r="C583" t="s">
        <v>2256</v>
      </c>
      <c r="D583" t="s">
        <v>2257</v>
      </c>
      <c r="E583" t="s">
        <v>2258</v>
      </c>
      <c r="F583" t="s">
        <v>2259</v>
      </c>
      <c r="G583" t="s">
        <v>2260</v>
      </c>
      <c r="H583" t="s">
        <v>28</v>
      </c>
      <c r="I583" t="s">
        <v>892</v>
      </c>
    </row>
    <row r="584" spans="1:9" ht="11.25" customHeight="1">
      <c r="A584" t="s">
        <v>2246</v>
      </c>
      <c r="B584" t="s">
        <v>16</v>
      </c>
      <c r="C584" t="s">
        <v>2261</v>
      </c>
      <c r="D584" t="s">
        <v>2262</v>
      </c>
      <c r="E584" t="s">
        <v>2263</v>
      </c>
      <c r="F584" t="s">
        <v>2264</v>
      </c>
      <c r="G584" t="s">
        <v>28</v>
      </c>
      <c r="H584" t="s">
        <v>28</v>
      </c>
      <c r="I584" t="s">
        <v>892</v>
      </c>
    </row>
    <row r="585" spans="1:9" ht="11.25" customHeight="1">
      <c r="A585" t="s">
        <v>2246</v>
      </c>
      <c r="B585" t="s">
        <v>16</v>
      </c>
      <c r="C585" t="s">
        <v>2274</v>
      </c>
      <c r="D585" t="s">
        <v>2275</v>
      </c>
      <c r="E585" t="s">
        <v>2276</v>
      </c>
      <c r="F585" t="s">
        <v>2277</v>
      </c>
      <c r="G585" t="s">
        <v>28</v>
      </c>
      <c r="H585" t="s">
        <v>28</v>
      </c>
      <c r="I585" t="s">
        <v>892</v>
      </c>
    </row>
    <row r="586" spans="1:9" ht="11.25" customHeight="1">
      <c r="A586" t="s">
        <v>2246</v>
      </c>
      <c r="B586" t="s">
        <v>16</v>
      </c>
      <c r="C586" t="s">
        <v>2300</v>
      </c>
      <c r="D586" t="s">
        <v>2301</v>
      </c>
      <c r="E586" t="s">
        <v>2302</v>
      </c>
      <c r="F586" t="s">
        <v>2303</v>
      </c>
      <c r="G586" t="s">
        <v>28</v>
      </c>
      <c r="H586" t="s">
        <v>28</v>
      </c>
      <c r="I586" t="s">
        <v>892</v>
      </c>
    </row>
    <row r="587" spans="1:9" ht="11.25" customHeight="1">
      <c r="A587" t="s">
        <v>2246</v>
      </c>
      <c r="B587" t="s">
        <v>16</v>
      </c>
      <c r="C587" t="s">
        <v>2311</v>
      </c>
      <c r="D587" t="s">
        <v>2312</v>
      </c>
      <c r="E587" t="s">
        <v>2309</v>
      </c>
      <c r="F587" t="s">
        <v>2313</v>
      </c>
      <c r="G587" t="s">
        <v>2314</v>
      </c>
      <c r="H587" t="s">
        <v>28</v>
      </c>
      <c r="I587" t="s">
        <v>892</v>
      </c>
    </row>
    <row r="588" spans="1:9" ht="11.25" customHeight="1">
      <c r="A588" t="s">
        <v>2246</v>
      </c>
      <c r="B588" t="s">
        <v>16</v>
      </c>
      <c r="C588" t="s">
        <v>2315</v>
      </c>
      <c r="D588" t="s">
        <v>2316</v>
      </c>
      <c r="E588" t="s">
        <v>2317</v>
      </c>
      <c r="F588" t="s">
        <v>2273</v>
      </c>
      <c r="G588" t="s">
        <v>28</v>
      </c>
      <c r="H588" t="s">
        <v>28</v>
      </c>
      <c r="I588" t="s">
        <v>892</v>
      </c>
    </row>
    <row r="589" spans="1:9" ht="11.25" customHeight="1">
      <c r="A589" t="s">
        <v>2246</v>
      </c>
      <c r="B589" t="s">
        <v>16</v>
      </c>
      <c r="C589" t="s">
        <v>2318</v>
      </c>
      <c r="D589" t="s">
        <v>2319</v>
      </c>
      <c r="E589" t="s">
        <v>2320</v>
      </c>
      <c r="F589" t="s">
        <v>2268</v>
      </c>
      <c r="G589" t="s">
        <v>2321</v>
      </c>
      <c r="H589" t="s">
        <v>28</v>
      </c>
      <c r="I589" t="s">
        <v>892</v>
      </c>
    </row>
    <row r="590" spans="1:9" ht="11.25" customHeight="1">
      <c r="A590" t="s">
        <v>2246</v>
      </c>
      <c r="B590" t="s">
        <v>16</v>
      </c>
      <c r="C590" t="s">
        <v>2337</v>
      </c>
      <c r="D590" t="s">
        <v>2338</v>
      </c>
      <c r="E590" t="s">
        <v>2339</v>
      </c>
      <c r="F590" t="s">
        <v>2303</v>
      </c>
      <c r="G590" t="s">
        <v>28</v>
      </c>
      <c r="H590" t="s">
        <v>28</v>
      </c>
      <c r="I590" t="s">
        <v>892</v>
      </c>
    </row>
    <row r="591" spans="1:9" ht="11.25" customHeight="1">
      <c r="A591" t="s">
        <v>2246</v>
      </c>
      <c r="B591" t="s">
        <v>16</v>
      </c>
      <c r="C591" t="s">
        <v>2375</v>
      </c>
      <c r="D591" t="s">
        <v>2376</v>
      </c>
      <c r="E591" t="s">
        <v>2377</v>
      </c>
      <c r="F591" t="s">
        <v>2295</v>
      </c>
      <c r="G591" t="s">
        <v>28</v>
      </c>
      <c r="H591" t="s">
        <v>28</v>
      </c>
      <c r="I591" t="s">
        <v>892</v>
      </c>
    </row>
    <row r="592" spans="1:9" ht="11.25" customHeight="1">
      <c r="A592" t="s">
        <v>2246</v>
      </c>
      <c r="B592" t="s">
        <v>16</v>
      </c>
      <c r="C592" t="s">
        <v>2381</v>
      </c>
      <c r="D592" t="s">
        <v>2382</v>
      </c>
      <c r="E592" t="s">
        <v>2383</v>
      </c>
      <c r="F592" t="s">
        <v>2384</v>
      </c>
      <c r="G592" t="s">
        <v>28</v>
      </c>
      <c r="H592" t="s">
        <v>28</v>
      </c>
      <c r="I592" t="s">
        <v>892</v>
      </c>
    </row>
    <row r="593" spans="1:9" ht="11.25" customHeight="1">
      <c r="A593" t="s">
        <v>2246</v>
      </c>
      <c r="B593" t="s">
        <v>16</v>
      </c>
      <c r="C593" t="s">
        <v>2389</v>
      </c>
      <c r="D593" t="s">
        <v>2390</v>
      </c>
      <c r="E593" t="s">
        <v>2391</v>
      </c>
      <c r="F593" t="s">
        <v>2332</v>
      </c>
      <c r="G593" t="s">
        <v>2392</v>
      </c>
      <c r="H593" t="s">
        <v>28</v>
      </c>
      <c r="I593" t="s">
        <v>892</v>
      </c>
    </row>
    <row r="594" spans="1:9" ht="11.25" customHeight="1">
      <c r="A594" t="s">
        <v>2246</v>
      </c>
      <c r="B594" t="s">
        <v>16</v>
      </c>
      <c r="C594" t="s">
        <v>2393</v>
      </c>
      <c r="D594" t="s">
        <v>2394</v>
      </c>
      <c r="E594" t="s">
        <v>2272</v>
      </c>
      <c r="F594" t="s">
        <v>2395</v>
      </c>
      <c r="G594" t="s">
        <v>2396</v>
      </c>
      <c r="H594" t="s">
        <v>28</v>
      </c>
      <c r="I594" t="s">
        <v>892</v>
      </c>
    </row>
    <row r="595" spans="1:9" ht="11.25" customHeight="1">
      <c r="A595" t="s">
        <v>2246</v>
      </c>
      <c r="B595" t="s">
        <v>16</v>
      </c>
      <c r="C595" t="s">
        <v>2402</v>
      </c>
      <c r="D595" t="s">
        <v>2403</v>
      </c>
      <c r="E595" t="s">
        <v>2404</v>
      </c>
      <c r="F595" t="s">
        <v>2400</v>
      </c>
      <c r="G595" t="s">
        <v>2405</v>
      </c>
      <c r="H595" t="s">
        <v>28</v>
      </c>
      <c r="I595" t="s">
        <v>892</v>
      </c>
    </row>
    <row r="596" spans="1:9" ht="11.25" customHeight="1">
      <c r="A596" t="s">
        <v>2246</v>
      </c>
      <c r="B596" t="s">
        <v>16</v>
      </c>
      <c r="C596" t="s">
        <v>2423</v>
      </c>
      <c r="D596" t="s">
        <v>2424</v>
      </c>
      <c r="E596" t="s">
        <v>2425</v>
      </c>
      <c r="F596" t="s">
        <v>2303</v>
      </c>
      <c r="G596" t="s">
        <v>2426</v>
      </c>
      <c r="H596" t="s">
        <v>28</v>
      </c>
      <c r="I596" t="s">
        <v>892</v>
      </c>
    </row>
    <row r="597" spans="1:9" ht="11.25" customHeight="1">
      <c r="A597" t="s">
        <v>2246</v>
      </c>
      <c r="B597" t="s">
        <v>16</v>
      </c>
      <c r="C597" t="s">
        <v>2427</v>
      </c>
      <c r="D597" t="s">
        <v>2428</v>
      </c>
      <c r="E597" t="s">
        <v>2425</v>
      </c>
      <c r="F597" t="s">
        <v>2429</v>
      </c>
      <c r="G597" t="s">
        <v>28</v>
      </c>
      <c r="H597" t="s">
        <v>28</v>
      </c>
      <c r="I597" t="s">
        <v>892</v>
      </c>
    </row>
    <row r="598" spans="1:9" ht="11.25" customHeight="1">
      <c r="A598" t="s">
        <v>2246</v>
      </c>
      <c r="B598" t="s">
        <v>16</v>
      </c>
      <c r="C598" t="s">
        <v>2430</v>
      </c>
      <c r="D598" t="s">
        <v>2431</v>
      </c>
      <c r="E598" t="s">
        <v>2425</v>
      </c>
      <c r="F598" t="s">
        <v>2432</v>
      </c>
      <c r="G598" t="s">
        <v>28</v>
      </c>
      <c r="H598" t="s">
        <v>28</v>
      </c>
      <c r="I598" t="s">
        <v>892</v>
      </c>
    </row>
    <row r="599" spans="1:9" ht="11.25" customHeight="1">
      <c r="A599" t="s">
        <v>2246</v>
      </c>
      <c r="B599" t="s">
        <v>16</v>
      </c>
      <c r="C599" t="s">
        <v>2436</v>
      </c>
      <c r="D599" t="s">
        <v>2437</v>
      </c>
      <c r="E599" t="s">
        <v>2425</v>
      </c>
      <c r="F599" t="s">
        <v>2438</v>
      </c>
      <c r="G599" t="s">
        <v>28</v>
      </c>
      <c r="H599" t="s">
        <v>28</v>
      </c>
      <c r="I599" t="s">
        <v>892</v>
      </c>
    </row>
    <row r="600" spans="1:9" ht="11.25" customHeight="1">
      <c r="A600" t="s">
        <v>2246</v>
      </c>
      <c r="B600" t="s">
        <v>16</v>
      </c>
      <c r="C600" t="s">
        <v>2445</v>
      </c>
      <c r="D600" t="s">
        <v>2446</v>
      </c>
      <c r="E600" t="s">
        <v>2425</v>
      </c>
      <c r="F600" t="s">
        <v>2447</v>
      </c>
      <c r="G600" t="s">
        <v>28</v>
      </c>
      <c r="H600" t="s">
        <v>28</v>
      </c>
      <c r="I600" t="s">
        <v>892</v>
      </c>
    </row>
    <row r="601" spans="1:9" ht="11.25" customHeight="1">
      <c r="A601" t="s">
        <v>2246</v>
      </c>
      <c r="B601" t="s">
        <v>16</v>
      </c>
      <c r="C601" t="s">
        <v>2451</v>
      </c>
      <c r="D601" t="s">
        <v>2452</v>
      </c>
      <c r="E601" t="s">
        <v>2425</v>
      </c>
      <c r="F601" t="s">
        <v>2453</v>
      </c>
      <c r="G601" t="s">
        <v>28</v>
      </c>
      <c r="H601" t="s">
        <v>28</v>
      </c>
      <c r="I601" t="s">
        <v>892</v>
      </c>
    </row>
    <row r="602" spans="1:9" ht="11.25" customHeight="1">
      <c r="A602" t="s">
        <v>2246</v>
      </c>
      <c r="B602" t="s">
        <v>16</v>
      </c>
      <c r="C602" t="s">
        <v>2463</v>
      </c>
      <c r="D602" t="s">
        <v>2464</v>
      </c>
      <c r="E602" t="s">
        <v>2425</v>
      </c>
      <c r="F602" t="s">
        <v>2465</v>
      </c>
      <c r="G602" t="s">
        <v>28</v>
      </c>
      <c r="H602" t="s">
        <v>28</v>
      </c>
      <c r="I602" t="s">
        <v>892</v>
      </c>
    </row>
    <row r="603" spans="1:9" ht="11.25" customHeight="1">
      <c r="A603" t="s">
        <v>2246</v>
      </c>
      <c r="B603" t="s">
        <v>16</v>
      </c>
      <c r="C603" t="s">
        <v>2470</v>
      </c>
      <c r="D603" t="s">
        <v>2471</v>
      </c>
      <c r="E603" t="s">
        <v>2472</v>
      </c>
      <c r="F603" t="s">
        <v>2332</v>
      </c>
      <c r="G603" t="s">
        <v>2473</v>
      </c>
      <c r="H603" t="s">
        <v>28</v>
      </c>
      <c r="I603" t="s">
        <v>892</v>
      </c>
    </row>
    <row r="604" spans="1:9" ht="11.25" customHeight="1">
      <c r="A604" t="s">
        <v>2246</v>
      </c>
      <c r="B604" t="s">
        <v>16</v>
      </c>
      <c r="C604" t="s">
        <v>2474</v>
      </c>
      <c r="D604" t="s">
        <v>2475</v>
      </c>
      <c r="E604" t="s">
        <v>2476</v>
      </c>
      <c r="F604" t="s">
        <v>2250</v>
      </c>
      <c r="G604" t="s">
        <v>2348</v>
      </c>
      <c r="H604" t="s">
        <v>28</v>
      </c>
      <c r="I604" t="s">
        <v>892</v>
      </c>
    </row>
    <row r="605" spans="1:9" ht="11.25" customHeight="1">
      <c r="A605" t="s">
        <v>2246</v>
      </c>
      <c r="B605" t="s">
        <v>16</v>
      </c>
      <c r="C605" t="s">
        <v>2477</v>
      </c>
      <c r="D605" t="s">
        <v>2478</v>
      </c>
      <c r="E605" t="s">
        <v>2479</v>
      </c>
      <c r="F605" t="s">
        <v>2250</v>
      </c>
      <c r="G605" t="s">
        <v>28</v>
      </c>
      <c r="H605" t="s">
        <v>28</v>
      </c>
      <c r="I605" t="s">
        <v>892</v>
      </c>
    </row>
    <row r="606" spans="1:9" ht="11.25" customHeight="1">
      <c r="A606" t="s">
        <v>2246</v>
      </c>
      <c r="B606" t="s">
        <v>16</v>
      </c>
      <c r="C606" t="s">
        <v>2480</v>
      </c>
      <c r="D606" t="s">
        <v>2481</v>
      </c>
      <c r="E606" t="s">
        <v>2482</v>
      </c>
      <c r="F606" t="s">
        <v>2268</v>
      </c>
      <c r="G606" t="s">
        <v>2483</v>
      </c>
      <c r="H606" t="s">
        <v>28</v>
      </c>
      <c r="I606" t="s">
        <v>892</v>
      </c>
    </row>
    <row r="607" spans="1:9" ht="11.25" customHeight="1">
      <c r="A607" t="s">
        <v>2246</v>
      </c>
      <c r="B607" t="s">
        <v>16</v>
      </c>
      <c r="C607" t="s">
        <v>2484</v>
      </c>
      <c r="D607" t="s">
        <v>2485</v>
      </c>
      <c r="E607" t="s">
        <v>2486</v>
      </c>
      <c r="F607" t="s">
        <v>50</v>
      </c>
      <c r="G607" t="s">
        <v>28</v>
      </c>
      <c r="H607" t="s">
        <v>28</v>
      </c>
      <c r="I607" t="s">
        <v>892</v>
      </c>
    </row>
    <row r="608" spans="1:9" ht="11.25" customHeight="1">
      <c r="A608" t="s">
        <v>2246</v>
      </c>
      <c r="B608" t="s">
        <v>16</v>
      </c>
      <c r="C608" t="s">
        <v>2487</v>
      </c>
      <c r="D608" t="s">
        <v>2488</v>
      </c>
      <c r="E608" t="s">
        <v>2486</v>
      </c>
      <c r="F608" t="s">
        <v>2462</v>
      </c>
      <c r="G608" t="s">
        <v>28</v>
      </c>
      <c r="H608" t="s">
        <v>28</v>
      </c>
      <c r="I608" t="s">
        <v>892</v>
      </c>
    </row>
    <row r="609" spans="1:9" ht="11.25" customHeight="1">
      <c r="A609" t="s">
        <v>2246</v>
      </c>
      <c r="B609" t="s">
        <v>16</v>
      </c>
      <c r="C609" t="s">
        <v>2492</v>
      </c>
      <c r="D609" t="s">
        <v>2493</v>
      </c>
      <c r="E609" t="s">
        <v>2486</v>
      </c>
      <c r="F609" t="s">
        <v>2494</v>
      </c>
      <c r="G609" t="s">
        <v>28</v>
      </c>
      <c r="H609" t="s">
        <v>28</v>
      </c>
      <c r="I609" t="s">
        <v>892</v>
      </c>
    </row>
    <row r="610" spans="1:9" ht="11.25" customHeight="1">
      <c r="A610" t="s">
        <v>2246</v>
      </c>
      <c r="B610" t="s">
        <v>16</v>
      </c>
      <c r="C610" t="s">
        <v>2498</v>
      </c>
      <c r="D610" t="s">
        <v>2499</v>
      </c>
      <c r="E610" t="s">
        <v>2486</v>
      </c>
      <c r="F610" t="s">
        <v>2500</v>
      </c>
      <c r="G610" t="s">
        <v>28</v>
      </c>
      <c r="H610" t="s">
        <v>28</v>
      </c>
      <c r="I610" t="s">
        <v>892</v>
      </c>
    </row>
    <row r="611" spans="1:9" ht="11.25" customHeight="1">
      <c r="A611" t="s">
        <v>2246</v>
      </c>
      <c r="B611" t="s">
        <v>16</v>
      </c>
      <c r="C611" t="s">
        <v>2504</v>
      </c>
      <c r="D611" t="s">
        <v>2505</v>
      </c>
      <c r="E611" t="s">
        <v>2486</v>
      </c>
      <c r="F611" t="s">
        <v>2506</v>
      </c>
      <c r="G611" t="s">
        <v>28</v>
      </c>
      <c r="H611" t="s">
        <v>28</v>
      </c>
      <c r="I611" t="s">
        <v>892</v>
      </c>
    </row>
    <row r="612" spans="1:9" ht="11.25" customHeight="1">
      <c r="A612" t="s">
        <v>2246</v>
      </c>
      <c r="B612" t="s">
        <v>16</v>
      </c>
      <c r="C612" t="s">
        <v>2510</v>
      </c>
      <c r="D612" t="s">
        <v>2511</v>
      </c>
      <c r="E612" t="s">
        <v>2486</v>
      </c>
      <c r="F612" t="s">
        <v>2512</v>
      </c>
      <c r="G612" t="s">
        <v>28</v>
      </c>
      <c r="H612" t="s">
        <v>28</v>
      </c>
      <c r="I612" t="s">
        <v>892</v>
      </c>
    </row>
    <row r="613" spans="1:9" ht="11.25" customHeight="1">
      <c r="A613" t="s">
        <v>2246</v>
      </c>
      <c r="B613" t="s">
        <v>16</v>
      </c>
      <c r="C613" t="s">
        <v>2513</v>
      </c>
      <c r="D613" t="s">
        <v>2514</v>
      </c>
      <c r="E613" t="s">
        <v>2486</v>
      </c>
      <c r="F613" t="s">
        <v>2515</v>
      </c>
      <c r="G613" t="s">
        <v>28</v>
      </c>
      <c r="H613" t="s">
        <v>28</v>
      </c>
      <c r="I613" t="s">
        <v>892</v>
      </c>
    </row>
    <row r="614" spans="1:9" ht="11.25" customHeight="1">
      <c r="A614" t="s">
        <v>2246</v>
      </c>
      <c r="B614" t="s">
        <v>16</v>
      </c>
      <c r="C614" t="s">
        <v>2516</v>
      </c>
      <c r="D614" t="s">
        <v>2517</v>
      </c>
      <c r="E614" t="s">
        <v>2486</v>
      </c>
      <c r="F614" t="s">
        <v>2518</v>
      </c>
      <c r="G614" t="s">
        <v>28</v>
      </c>
      <c r="H614" t="s">
        <v>28</v>
      </c>
      <c r="I614" t="s">
        <v>892</v>
      </c>
    </row>
    <row r="615" spans="1:9" ht="11.25" customHeight="1">
      <c r="A615" t="s">
        <v>2246</v>
      </c>
      <c r="B615" t="s">
        <v>16</v>
      </c>
      <c r="C615" t="s">
        <v>2519</v>
      </c>
      <c r="D615" t="s">
        <v>2520</v>
      </c>
      <c r="E615" t="s">
        <v>2486</v>
      </c>
      <c r="F615" t="s">
        <v>2521</v>
      </c>
      <c r="G615" t="s">
        <v>28</v>
      </c>
      <c r="H615" t="s">
        <v>28</v>
      </c>
      <c r="I615" t="s">
        <v>892</v>
      </c>
    </row>
    <row r="616" spans="1:9" ht="11.25" customHeight="1">
      <c r="A616" t="s">
        <v>2246</v>
      </c>
      <c r="B616" t="s">
        <v>16</v>
      </c>
      <c r="C616" t="s">
        <v>2522</v>
      </c>
      <c r="D616" t="s">
        <v>2523</v>
      </c>
      <c r="E616" t="s">
        <v>2486</v>
      </c>
      <c r="F616" t="s">
        <v>2524</v>
      </c>
      <c r="G616" t="s">
        <v>28</v>
      </c>
      <c r="H616" t="s">
        <v>28</v>
      </c>
      <c r="I616" t="s">
        <v>892</v>
      </c>
    </row>
    <row r="617" spans="1:9" ht="11.25" customHeight="1">
      <c r="A617" t="s">
        <v>2246</v>
      </c>
      <c r="B617" t="s">
        <v>16</v>
      </c>
      <c r="C617" t="s">
        <v>2525</v>
      </c>
      <c r="D617" t="s">
        <v>2526</v>
      </c>
      <c r="E617" t="s">
        <v>2486</v>
      </c>
      <c r="F617" t="s">
        <v>2527</v>
      </c>
      <c r="G617" t="s">
        <v>28</v>
      </c>
      <c r="H617" t="s">
        <v>28</v>
      </c>
      <c r="I617" t="s">
        <v>892</v>
      </c>
    </row>
    <row r="618" spans="1:9" ht="11.25" customHeight="1">
      <c r="A618" t="s">
        <v>2246</v>
      </c>
      <c r="B618" t="s">
        <v>16</v>
      </c>
      <c r="C618" t="s">
        <v>2528</v>
      </c>
      <c r="D618" t="s">
        <v>2529</v>
      </c>
      <c r="E618" t="s">
        <v>2486</v>
      </c>
      <c r="F618" t="s">
        <v>2530</v>
      </c>
      <c r="G618" t="s">
        <v>28</v>
      </c>
      <c r="H618" t="s">
        <v>28</v>
      </c>
      <c r="I618" t="s">
        <v>892</v>
      </c>
    </row>
    <row r="619" spans="1:9" ht="11.25" customHeight="1">
      <c r="A619" t="s">
        <v>2246</v>
      </c>
      <c r="B619" t="s">
        <v>16</v>
      </c>
      <c r="C619" t="s">
        <v>2531</v>
      </c>
      <c r="D619" t="s">
        <v>2532</v>
      </c>
      <c r="E619" t="s">
        <v>2486</v>
      </c>
      <c r="F619" t="s">
        <v>2533</v>
      </c>
      <c r="G619" t="s">
        <v>28</v>
      </c>
      <c r="H619" t="s">
        <v>28</v>
      </c>
      <c r="I619" t="s">
        <v>892</v>
      </c>
    </row>
    <row r="620" spans="1:9" ht="11.25" customHeight="1">
      <c r="A620" t="s">
        <v>2246</v>
      </c>
      <c r="B620" t="s">
        <v>16</v>
      </c>
      <c r="C620" t="s">
        <v>2534</v>
      </c>
      <c r="D620" t="s">
        <v>2535</v>
      </c>
      <c r="E620" t="s">
        <v>2317</v>
      </c>
      <c r="F620" t="s">
        <v>2536</v>
      </c>
      <c r="G620" t="s">
        <v>28</v>
      </c>
      <c r="H620" t="s">
        <v>28</v>
      </c>
      <c r="I620" t="s">
        <v>892</v>
      </c>
    </row>
    <row r="621" spans="1:9" ht="11.25" customHeight="1">
      <c r="A621" t="s">
        <v>2246</v>
      </c>
      <c r="B621" t="s">
        <v>16</v>
      </c>
      <c r="C621" t="s">
        <v>2537</v>
      </c>
      <c r="D621" t="s">
        <v>2538</v>
      </c>
      <c r="E621" t="s">
        <v>2539</v>
      </c>
      <c r="F621" t="s">
        <v>2540</v>
      </c>
      <c r="G621" t="s">
        <v>28</v>
      </c>
      <c r="H621" t="s">
        <v>28</v>
      </c>
      <c r="I621" t="s">
        <v>892</v>
      </c>
    </row>
    <row r="622" spans="1:9" ht="11.25" customHeight="1">
      <c r="A622" t="s">
        <v>2246</v>
      </c>
      <c r="B622" t="s">
        <v>16</v>
      </c>
      <c r="C622" t="s">
        <v>2541</v>
      </c>
      <c r="D622" t="s">
        <v>2542</v>
      </c>
      <c r="E622" t="s">
        <v>2543</v>
      </c>
      <c r="F622" t="s">
        <v>2544</v>
      </c>
      <c r="G622" t="s">
        <v>28</v>
      </c>
      <c r="H622" t="s">
        <v>28</v>
      </c>
      <c r="I622" t="s">
        <v>892</v>
      </c>
    </row>
    <row r="623" spans="1:9" ht="11.25" customHeight="1">
      <c r="A623" t="s">
        <v>2246</v>
      </c>
      <c r="B623" t="s">
        <v>16</v>
      </c>
      <c r="C623" t="s">
        <v>2545</v>
      </c>
      <c r="D623" t="s">
        <v>2546</v>
      </c>
      <c r="E623" t="s">
        <v>2547</v>
      </c>
      <c r="F623" t="s">
        <v>2303</v>
      </c>
      <c r="G623" t="s">
        <v>28</v>
      </c>
      <c r="H623" t="s">
        <v>28</v>
      </c>
      <c r="I623" t="s">
        <v>892</v>
      </c>
    </row>
    <row r="624" spans="1:9" ht="11.25" customHeight="1">
      <c r="A624" t="s">
        <v>2246</v>
      </c>
      <c r="B624" t="s">
        <v>16</v>
      </c>
      <c r="C624" t="s">
        <v>2551</v>
      </c>
      <c r="D624" t="s">
        <v>2552</v>
      </c>
      <c r="E624" t="s">
        <v>2553</v>
      </c>
      <c r="F624" t="s">
        <v>2384</v>
      </c>
      <c r="G624" t="s">
        <v>28</v>
      </c>
      <c r="H624" t="s">
        <v>28</v>
      </c>
      <c r="I624" t="s">
        <v>892</v>
      </c>
    </row>
    <row r="625" spans="1:9" ht="11.25" customHeight="1">
      <c r="A625" t="s">
        <v>2246</v>
      </c>
      <c r="B625" t="s">
        <v>16</v>
      </c>
      <c r="C625" t="s">
        <v>2554</v>
      </c>
      <c r="D625" t="s">
        <v>2555</v>
      </c>
      <c r="E625" t="s">
        <v>2556</v>
      </c>
      <c r="F625" t="s">
        <v>2332</v>
      </c>
      <c r="G625" t="s">
        <v>28</v>
      </c>
      <c r="H625" t="s">
        <v>28</v>
      </c>
      <c r="I625" t="s">
        <v>892</v>
      </c>
    </row>
    <row r="626" spans="1:9" ht="11.25" customHeight="1">
      <c r="A626" t="s">
        <v>2246</v>
      </c>
      <c r="B626" t="s">
        <v>16</v>
      </c>
      <c r="C626" t="s">
        <v>2561</v>
      </c>
      <c r="D626" t="s">
        <v>2562</v>
      </c>
      <c r="E626" t="s">
        <v>2563</v>
      </c>
      <c r="F626" t="s">
        <v>2332</v>
      </c>
      <c r="G626" t="s">
        <v>2564</v>
      </c>
      <c r="H626" t="s">
        <v>28</v>
      </c>
      <c r="I626" t="s">
        <v>892</v>
      </c>
    </row>
    <row r="627" spans="1:9" ht="11.25" customHeight="1">
      <c r="A627" t="s">
        <v>2246</v>
      </c>
      <c r="B627" t="s">
        <v>16</v>
      </c>
      <c r="C627" t="s">
        <v>2575</v>
      </c>
      <c r="D627" t="s">
        <v>2576</v>
      </c>
      <c r="E627" t="s">
        <v>2577</v>
      </c>
      <c r="F627" t="s">
        <v>2574</v>
      </c>
      <c r="G627" t="s">
        <v>2578</v>
      </c>
      <c r="H627" t="s">
        <v>28</v>
      </c>
      <c r="I627" t="s">
        <v>892</v>
      </c>
    </row>
    <row r="628" spans="1:9" ht="11.25" customHeight="1">
      <c r="A628" t="s">
        <v>2246</v>
      </c>
      <c r="B628" t="s">
        <v>16</v>
      </c>
      <c r="C628" t="s">
        <v>2584</v>
      </c>
      <c r="D628" t="s">
        <v>2585</v>
      </c>
      <c r="E628" t="s">
        <v>2586</v>
      </c>
      <c r="F628" t="s">
        <v>2332</v>
      </c>
      <c r="G628" t="s">
        <v>2587</v>
      </c>
      <c r="H628" t="s">
        <v>28</v>
      </c>
      <c r="I628" t="s">
        <v>892</v>
      </c>
    </row>
    <row r="629" spans="1:9" ht="11.25" customHeight="1">
      <c r="A629" t="s">
        <v>2246</v>
      </c>
      <c r="B629" t="s">
        <v>16</v>
      </c>
      <c r="C629" t="s">
        <v>2588</v>
      </c>
      <c r="D629" t="s">
        <v>2589</v>
      </c>
      <c r="E629" t="s">
        <v>2590</v>
      </c>
      <c r="F629" t="s">
        <v>2343</v>
      </c>
      <c r="G629" t="s">
        <v>2591</v>
      </c>
      <c r="H629" t="s">
        <v>28</v>
      </c>
      <c r="I629" t="s">
        <v>892</v>
      </c>
    </row>
    <row r="630" spans="1:9" ht="11.25" customHeight="1">
      <c r="A630" t="s">
        <v>2246</v>
      </c>
      <c r="B630" t="s">
        <v>16</v>
      </c>
      <c r="C630" t="s">
        <v>2595</v>
      </c>
      <c r="D630" t="s">
        <v>2596</v>
      </c>
      <c r="E630" t="s">
        <v>2597</v>
      </c>
      <c r="F630" t="s">
        <v>2343</v>
      </c>
      <c r="G630" t="s">
        <v>28</v>
      </c>
      <c r="H630" t="s">
        <v>28</v>
      </c>
      <c r="I630" t="s">
        <v>892</v>
      </c>
    </row>
    <row r="631" spans="1:9" ht="11.25" customHeight="1">
      <c r="A631" t="s">
        <v>2246</v>
      </c>
      <c r="B631" t="s">
        <v>16</v>
      </c>
      <c r="C631" t="s">
        <v>2601</v>
      </c>
      <c r="D631" t="s">
        <v>2602</v>
      </c>
      <c r="E631" t="s">
        <v>2603</v>
      </c>
      <c r="F631" t="s">
        <v>2303</v>
      </c>
      <c r="G631" t="s">
        <v>28</v>
      </c>
      <c r="H631" t="s">
        <v>28</v>
      </c>
      <c r="I631" t="s">
        <v>892</v>
      </c>
    </row>
    <row r="632" spans="1:9" ht="11.25" customHeight="1">
      <c r="A632" t="s">
        <v>2246</v>
      </c>
      <c r="B632" t="s">
        <v>16</v>
      </c>
      <c r="C632" t="s">
        <v>2611</v>
      </c>
      <c r="D632" t="s">
        <v>2612</v>
      </c>
      <c r="E632" t="s">
        <v>2613</v>
      </c>
      <c r="F632" t="s">
        <v>2325</v>
      </c>
      <c r="G632" t="s">
        <v>28</v>
      </c>
      <c r="H632" t="s">
        <v>28</v>
      </c>
      <c r="I632" t="s">
        <v>892</v>
      </c>
    </row>
    <row r="633" spans="1:9" ht="11.25" customHeight="1">
      <c r="A633" t="s">
        <v>2246</v>
      </c>
      <c r="B633" t="s">
        <v>16</v>
      </c>
      <c r="C633" t="s">
        <v>2623</v>
      </c>
      <c r="D633" t="s">
        <v>2624</v>
      </c>
      <c r="E633" t="s">
        <v>2625</v>
      </c>
      <c r="F633" t="s">
        <v>2325</v>
      </c>
      <c r="G633" t="s">
        <v>28</v>
      </c>
      <c r="H633" t="s">
        <v>28</v>
      </c>
      <c r="I633" t="s">
        <v>892</v>
      </c>
    </row>
    <row r="634" spans="1:9" ht="11.25" customHeight="1">
      <c r="A634" t="s">
        <v>2246</v>
      </c>
      <c r="B634" t="s">
        <v>16</v>
      </c>
      <c r="C634" t="s">
        <v>2626</v>
      </c>
      <c r="D634" t="s">
        <v>2627</v>
      </c>
      <c r="E634" t="s">
        <v>2628</v>
      </c>
      <c r="F634" t="s">
        <v>2629</v>
      </c>
      <c r="G634" t="s">
        <v>2630</v>
      </c>
      <c r="H634" t="s">
        <v>28</v>
      </c>
      <c r="I634" t="s">
        <v>892</v>
      </c>
    </row>
    <row r="635" spans="1:9" ht="11.25" customHeight="1">
      <c r="A635" t="s">
        <v>2246</v>
      </c>
      <c r="B635" t="s">
        <v>16</v>
      </c>
      <c r="C635" t="s">
        <v>2631</v>
      </c>
      <c r="D635" t="s">
        <v>2632</v>
      </c>
      <c r="E635" t="s">
        <v>2633</v>
      </c>
      <c r="F635" t="s">
        <v>2325</v>
      </c>
      <c r="G635" t="s">
        <v>28</v>
      </c>
      <c r="H635" t="s">
        <v>28</v>
      </c>
      <c r="I635" t="s">
        <v>892</v>
      </c>
    </row>
    <row r="636" spans="1:9" ht="11.25" customHeight="1">
      <c r="A636" t="s">
        <v>2246</v>
      </c>
      <c r="B636" t="s">
        <v>16</v>
      </c>
      <c r="C636" t="s">
        <v>2638</v>
      </c>
      <c r="D636" t="s">
        <v>2639</v>
      </c>
      <c r="E636" t="s">
        <v>2636</v>
      </c>
      <c r="F636" t="s">
        <v>2343</v>
      </c>
      <c r="G636" t="s">
        <v>2483</v>
      </c>
      <c r="H636" t="s">
        <v>28</v>
      </c>
      <c r="I636" t="s">
        <v>892</v>
      </c>
    </row>
    <row r="637" spans="1:9" ht="11.25" customHeight="1">
      <c r="A637" t="s">
        <v>2246</v>
      </c>
      <c r="B637" t="s">
        <v>16</v>
      </c>
      <c r="C637" t="s">
        <v>2644</v>
      </c>
      <c r="D637" t="s">
        <v>2645</v>
      </c>
      <c r="E637" t="s">
        <v>2646</v>
      </c>
      <c r="F637" t="s">
        <v>2295</v>
      </c>
      <c r="G637" t="s">
        <v>2647</v>
      </c>
      <c r="H637" t="s">
        <v>28</v>
      </c>
      <c r="I637" t="s">
        <v>892</v>
      </c>
    </row>
    <row r="638" spans="1:9" ht="11.25" customHeight="1">
      <c r="A638" t="s">
        <v>2246</v>
      </c>
      <c r="B638" t="s">
        <v>16</v>
      </c>
      <c r="C638" t="s">
        <v>2648</v>
      </c>
      <c r="D638" t="s">
        <v>2649</v>
      </c>
      <c r="E638" t="s">
        <v>2650</v>
      </c>
      <c r="F638" t="s">
        <v>2303</v>
      </c>
      <c r="G638" t="s">
        <v>28</v>
      </c>
      <c r="H638" t="s">
        <v>28</v>
      </c>
      <c r="I638" t="s">
        <v>892</v>
      </c>
    </row>
    <row r="639" spans="1:9" ht="11.25" customHeight="1">
      <c r="A639" t="s">
        <v>2246</v>
      </c>
      <c r="B639" t="s">
        <v>16</v>
      </c>
      <c r="C639" t="s">
        <v>2654</v>
      </c>
      <c r="D639" t="s">
        <v>2655</v>
      </c>
      <c r="E639" t="s">
        <v>2656</v>
      </c>
      <c r="F639" t="s">
        <v>2657</v>
      </c>
      <c r="G639" t="s">
        <v>2658</v>
      </c>
      <c r="H639" t="s">
        <v>28</v>
      </c>
      <c r="I639" t="s">
        <v>892</v>
      </c>
    </row>
    <row r="640" spans="1:9" ht="11.25" customHeight="1">
      <c r="A640" t="s">
        <v>2246</v>
      </c>
      <c r="B640" t="s">
        <v>16</v>
      </c>
      <c r="C640" t="s">
        <v>2681</v>
      </c>
      <c r="D640" t="s">
        <v>2682</v>
      </c>
      <c r="E640" t="s">
        <v>2683</v>
      </c>
      <c r="F640" t="s">
        <v>2343</v>
      </c>
      <c r="G640" t="s">
        <v>28</v>
      </c>
      <c r="H640" t="s">
        <v>28</v>
      </c>
      <c r="I640" t="s">
        <v>892</v>
      </c>
    </row>
    <row r="641" spans="1:9" ht="11.25" customHeight="1">
      <c r="A641" t="s">
        <v>2246</v>
      </c>
      <c r="B641" t="s">
        <v>16</v>
      </c>
      <c r="C641" t="s">
        <v>2691</v>
      </c>
      <c r="D641" t="s">
        <v>2692</v>
      </c>
      <c r="E641" t="s">
        <v>2693</v>
      </c>
      <c r="F641" t="s">
        <v>2687</v>
      </c>
      <c r="G641" t="s">
        <v>28</v>
      </c>
      <c r="H641" t="s">
        <v>28</v>
      </c>
      <c r="I641" t="s">
        <v>892</v>
      </c>
    </row>
    <row r="642" spans="1:9" ht="11.25" customHeight="1">
      <c r="A642" t="s">
        <v>2246</v>
      </c>
      <c r="B642" t="s">
        <v>16</v>
      </c>
      <c r="C642" t="s">
        <v>2694</v>
      </c>
      <c r="D642" t="s">
        <v>2695</v>
      </c>
      <c r="E642" t="s">
        <v>2696</v>
      </c>
      <c r="F642" t="s">
        <v>2332</v>
      </c>
      <c r="G642" t="s">
        <v>28</v>
      </c>
      <c r="H642" t="s">
        <v>28</v>
      </c>
      <c r="I642" t="s">
        <v>892</v>
      </c>
    </row>
    <row r="643" spans="1:9" ht="11.25" customHeight="1">
      <c r="A643" t="s">
        <v>2246</v>
      </c>
      <c r="B643" t="s">
        <v>16</v>
      </c>
      <c r="C643" t="s">
        <v>2697</v>
      </c>
      <c r="D643" t="s">
        <v>2698</v>
      </c>
      <c r="E643" t="s">
        <v>2699</v>
      </c>
      <c r="F643" t="s">
        <v>2250</v>
      </c>
      <c r="G643" t="s">
        <v>2700</v>
      </c>
      <c r="H643" t="s">
        <v>28</v>
      </c>
      <c r="I643" t="s">
        <v>892</v>
      </c>
    </row>
    <row r="644" spans="1:9" ht="11.25" customHeight="1">
      <c r="A644" t="s">
        <v>2246</v>
      </c>
      <c r="B644" t="s">
        <v>16</v>
      </c>
      <c r="C644" t="s">
        <v>2708</v>
      </c>
      <c r="D644" t="s">
        <v>2709</v>
      </c>
      <c r="E644" t="s">
        <v>2710</v>
      </c>
      <c r="F644" t="s">
        <v>2286</v>
      </c>
      <c r="G644" t="s">
        <v>28</v>
      </c>
      <c r="H644" t="s">
        <v>28</v>
      </c>
      <c r="I644" t="s">
        <v>892</v>
      </c>
    </row>
    <row r="645" spans="1:9" ht="11.25" customHeight="1">
      <c r="A645" t="s">
        <v>2246</v>
      </c>
      <c r="B645" t="s">
        <v>16</v>
      </c>
      <c r="C645" t="s">
        <v>2751</v>
      </c>
      <c r="D645" t="s">
        <v>2752</v>
      </c>
      <c r="E645" t="s">
        <v>2753</v>
      </c>
      <c r="F645" t="s">
        <v>2303</v>
      </c>
      <c r="G645" t="s">
        <v>2754</v>
      </c>
      <c r="H645" t="s">
        <v>28</v>
      </c>
      <c r="I645" t="s">
        <v>892</v>
      </c>
    </row>
    <row r="646" spans="1:9" ht="11.25" customHeight="1">
      <c r="A646" t="s">
        <v>2246</v>
      </c>
      <c r="B646" t="s">
        <v>16</v>
      </c>
      <c r="C646" t="s">
        <v>2762</v>
      </c>
      <c r="D646" t="s">
        <v>2763</v>
      </c>
      <c r="E646" t="s">
        <v>2764</v>
      </c>
      <c r="F646" t="s">
        <v>2384</v>
      </c>
      <c r="G646" t="s">
        <v>2765</v>
      </c>
      <c r="H646" t="s">
        <v>28</v>
      </c>
      <c r="I646" t="s">
        <v>892</v>
      </c>
    </row>
    <row r="647" spans="1:9" ht="11.25" customHeight="1">
      <c r="A647" t="s">
        <v>2246</v>
      </c>
      <c r="B647" t="s">
        <v>16</v>
      </c>
      <c r="C647" t="s">
        <v>2775</v>
      </c>
      <c r="D647" t="s">
        <v>2776</v>
      </c>
      <c r="E647" t="s">
        <v>2777</v>
      </c>
      <c r="F647" t="s">
        <v>574</v>
      </c>
      <c r="G647" t="s">
        <v>28</v>
      </c>
      <c r="H647" t="s">
        <v>28</v>
      </c>
      <c r="I647" t="s">
        <v>892</v>
      </c>
    </row>
    <row r="648" spans="1:9" ht="11.25" customHeight="1">
      <c r="A648" t="s">
        <v>2246</v>
      </c>
      <c r="B648" t="s">
        <v>16</v>
      </c>
      <c r="C648" t="s">
        <v>2790</v>
      </c>
      <c r="D648" t="s">
        <v>2791</v>
      </c>
      <c r="E648" t="s">
        <v>2792</v>
      </c>
      <c r="F648" t="s">
        <v>574</v>
      </c>
      <c r="G648" t="s">
        <v>28</v>
      </c>
      <c r="H648" t="s">
        <v>28</v>
      </c>
      <c r="I648" t="s">
        <v>892</v>
      </c>
    </row>
    <row r="649" spans="1:9" ht="11.25" customHeight="1">
      <c r="A649" t="s">
        <v>2246</v>
      </c>
      <c r="B649" t="s">
        <v>16</v>
      </c>
      <c r="C649" t="s">
        <v>2838</v>
      </c>
      <c r="D649" t="s">
        <v>2839</v>
      </c>
      <c r="E649" t="s">
        <v>2840</v>
      </c>
      <c r="F649" t="s">
        <v>2295</v>
      </c>
      <c r="G649" t="s">
        <v>28</v>
      </c>
      <c r="H649" t="s">
        <v>28</v>
      </c>
      <c r="I649" t="s">
        <v>892</v>
      </c>
    </row>
    <row r="650" spans="1:9" ht="11.25" customHeight="1">
      <c r="A650" t="s">
        <v>2246</v>
      </c>
      <c r="B650" t="s">
        <v>16</v>
      </c>
      <c r="C650" t="s">
        <v>2841</v>
      </c>
      <c r="D650" t="s">
        <v>2842</v>
      </c>
      <c r="E650" t="s">
        <v>2843</v>
      </c>
      <c r="F650" t="s">
        <v>2360</v>
      </c>
      <c r="G650" t="s">
        <v>28</v>
      </c>
      <c r="H650" t="s">
        <v>28</v>
      </c>
      <c r="I650" t="s">
        <v>892</v>
      </c>
    </row>
    <row r="651" spans="1:9" ht="11.25" customHeight="1">
      <c r="A651" t="s">
        <v>2246</v>
      </c>
      <c r="B651" t="s">
        <v>16</v>
      </c>
      <c r="C651" t="s">
        <v>2847</v>
      </c>
      <c r="D651" t="s">
        <v>2848</v>
      </c>
      <c r="E651" t="s">
        <v>2849</v>
      </c>
      <c r="F651" t="s">
        <v>2295</v>
      </c>
      <c r="G651" t="s">
        <v>28</v>
      </c>
      <c r="H651" t="s">
        <v>28</v>
      </c>
      <c r="I651" t="s">
        <v>892</v>
      </c>
    </row>
    <row r="652" spans="1:9" ht="11.25" customHeight="1">
      <c r="A652" t="s">
        <v>2246</v>
      </c>
      <c r="B652" t="s">
        <v>16</v>
      </c>
      <c r="C652" t="s">
        <v>2850</v>
      </c>
      <c r="D652" t="s">
        <v>2851</v>
      </c>
      <c r="E652" t="s">
        <v>2852</v>
      </c>
      <c r="F652" t="s">
        <v>2295</v>
      </c>
      <c r="G652" t="s">
        <v>28</v>
      </c>
      <c r="H652" t="s">
        <v>28</v>
      </c>
      <c r="I652" t="s">
        <v>892</v>
      </c>
    </row>
    <row r="653" spans="1:9" ht="11.25" customHeight="1">
      <c r="A653" t="s">
        <v>2246</v>
      </c>
      <c r="B653" t="s">
        <v>16</v>
      </c>
      <c r="C653" t="s">
        <v>2853</v>
      </c>
      <c r="D653" t="s">
        <v>2854</v>
      </c>
      <c r="E653" t="s">
        <v>2855</v>
      </c>
      <c r="F653" t="s">
        <v>2582</v>
      </c>
      <c r="G653" t="s">
        <v>28</v>
      </c>
      <c r="H653" t="s">
        <v>28</v>
      </c>
      <c r="I653" t="s">
        <v>892</v>
      </c>
    </row>
    <row r="654" spans="1:9" ht="11.25" customHeight="1">
      <c r="A654" t="s">
        <v>2246</v>
      </c>
      <c r="B654" t="s">
        <v>16</v>
      </c>
      <c r="C654" t="s">
        <v>2856</v>
      </c>
      <c r="D654" t="s">
        <v>2857</v>
      </c>
      <c r="E654" t="s">
        <v>2858</v>
      </c>
      <c r="F654" t="s">
        <v>2264</v>
      </c>
      <c r="G654" t="s">
        <v>28</v>
      </c>
      <c r="H654" t="s">
        <v>28</v>
      </c>
      <c r="I654" t="s">
        <v>892</v>
      </c>
    </row>
    <row r="655" spans="1:9" ht="11.25" customHeight="1">
      <c r="A655" t="s">
        <v>2246</v>
      </c>
      <c r="B655" t="s">
        <v>16</v>
      </c>
      <c r="C655" t="s">
        <v>2859</v>
      </c>
      <c r="D655" t="s">
        <v>2860</v>
      </c>
      <c r="E655" t="s">
        <v>2861</v>
      </c>
      <c r="F655" t="s">
        <v>2347</v>
      </c>
      <c r="G655" t="s">
        <v>28</v>
      </c>
      <c r="H655" t="s">
        <v>28</v>
      </c>
      <c r="I655" t="s">
        <v>892</v>
      </c>
    </row>
    <row r="656" spans="1:9" ht="11.25" customHeight="1">
      <c r="A656" t="s">
        <v>2246</v>
      </c>
      <c r="B656" t="s">
        <v>16</v>
      </c>
      <c r="C656" t="s">
        <v>2862</v>
      </c>
      <c r="D656" t="s">
        <v>2863</v>
      </c>
      <c r="E656" t="s">
        <v>2864</v>
      </c>
      <c r="F656" t="s">
        <v>2264</v>
      </c>
      <c r="G656" t="s">
        <v>28</v>
      </c>
      <c r="H656" t="s">
        <v>28</v>
      </c>
      <c r="I656" t="s">
        <v>892</v>
      </c>
    </row>
    <row r="657" spans="1:9" ht="11.25" customHeight="1">
      <c r="A657" t="s">
        <v>2246</v>
      </c>
      <c r="B657" t="s">
        <v>16</v>
      </c>
      <c r="C657" t="s">
        <v>2874</v>
      </c>
      <c r="D657" t="s">
        <v>2875</v>
      </c>
      <c r="E657" t="s">
        <v>2876</v>
      </c>
      <c r="F657" t="s">
        <v>2347</v>
      </c>
      <c r="G657" t="s">
        <v>28</v>
      </c>
      <c r="H657" t="s">
        <v>28</v>
      </c>
      <c r="I657" t="s">
        <v>892</v>
      </c>
    </row>
    <row r="658" spans="1:9" ht="11.25" customHeight="1">
      <c r="A658" t="s">
        <v>2246</v>
      </c>
      <c r="B658" t="s">
        <v>16</v>
      </c>
      <c r="C658" t="s">
        <v>2877</v>
      </c>
      <c r="D658" t="s">
        <v>2878</v>
      </c>
      <c r="E658" t="s">
        <v>2879</v>
      </c>
      <c r="F658" t="s">
        <v>2400</v>
      </c>
      <c r="G658" t="s">
        <v>2880</v>
      </c>
      <c r="H658" t="s">
        <v>28</v>
      </c>
      <c r="I658" t="s">
        <v>892</v>
      </c>
    </row>
    <row r="659" spans="1:9" ht="11.25" customHeight="1">
      <c r="A659" t="s">
        <v>2246</v>
      </c>
      <c r="B659" t="s">
        <v>16</v>
      </c>
      <c r="C659" t="s">
        <v>2884</v>
      </c>
      <c r="D659" t="s">
        <v>2885</v>
      </c>
      <c r="E659" t="s">
        <v>2886</v>
      </c>
      <c r="F659" t="s">
        <v>2574</v>
      </c>
      <c r="G659" t="s">
        <v>28</v>
      </c>
      <c r="H659" t="s">
        <v>28</v>
      </c>
      <c r="I659" t="s">
        <v>892</v>
      </c>
    </row>
    <row r="660" spans="1:9" ht="11.25" customHeight="1">
      <c r="A660" t="s">
        <v>2246</v>
      </c>
      <c r="B660" t="s">
        <v>16</v>
      </c>
      <c r="C660" t="s">
        <v>2887</v>
      </c>
      <c r="D660" t="s">
        <v>2888</v>
      </c>
      <c r="E660" t="s">
        <v>2889</v>
      </c>
      <c r="F660" t="s">
        <v>2295</v>
      </c>
      <c r="G660" t="s">
        <v>28</v>
      </c>
      <c r="H660" t="s">
        <v>28</v>
      </c>
      <c r="I660" t="s">
        <v>892</v>
      </c>
    </row>
    <row r="661" spans="1:9" ht="11.25" customHeight="1">
      <c r="A661" t="s">
        <v>2246</v>
      </c>
      <c r="B661" t="s">
        <v>16</v>
      </c>
      <c r="C661" t="s">
        <v>2890</v>
      </c>
      <c r="D661" t="s">
        <v>2891</v>
      </c>
      <c r="E661" t="s">
        <v>2892</v>
      </c>
      <c r="F661" t="s">
        <v>2574</v>
      </c>
      <c r="G661" t="s">
        <v>28</v>
      </c>
      <c r="H661" t="s">
        <v>28</v>
      </c>
      <c r="I661" t="s">
        <v>892</v>
      </c>
    </row>
    <row r="662" spans="1:9" ht="11.25" customHeight="1">
      <c r="A662" t="s">
        <v>2246</v>
      </c>
      <c r="B662" t="s">
        <v>16</v>
      </c>
      <c r="C662" t="s">
        <v>2893</v>
      </c>
      <c r="D662" t="s">
        <v>2894</v>
      </c>
      <c r="E662" t="s">
        <v>2895</v>
      </c>
      <c r="F662" t="s">
        <v>2286</v>
      </c>
      <c r="G662" t="s">
        <v>28</v>
      </c>
      <c r="H662" t="s">
        <v>28</v>
      </c>
      <c r="I662" t="s">
        <v>892</v>
      </c>
    </row>
    <row r="663" spans="1:9" ht="11.25" customHeight="1">
      <c r="A663" t="s">
        <v>2246</v>
      </c>
      <c r="B663" t="s">
        <v>16</v>
      </c>
      <c r="C663" t="s">
        <v>2939</v>
      </c>
      <c r="D663" t="s">
        <v>2940</v>
      </c>
      <c r="E663" t="s">
        <v>2941</v>
      </c>
      <c r="F663" t="s">
        <v>2347</v>
      </c>
      <c r="G663" t="s">
        <v>2942</v>
      </c>
      <c r="H663" t="s">
        <v>28</v>
      </c>
      <c r="I663" t="s">
        <v>892</v>
      </c>
    </row>
    <row r="664" spans="1:9" ht="11.25" customHeight="1">
      <c r="A664" t="s">
        <v>2246</v>
      </c>
      <c r="B664" t="s">
        <v>16</v>
      </c>
      <c r="C664" t="s">
        <v>2946</v>
      </c>
      <c r="D664" t="s">
        <v>2947</v>
      </c>
      <c r="E664" t="s">
        <v>2948</v>
      </c>
      <c r="F664" t="s">
        <v>2347</v>
      </c>
      <c r="G664" t="s">
        <v>28</v>
      </c>
      <c r="H664" t="s">
        <v>28</v>
      </c>
      <c r="I664" t="s">
        <v>892</v>
      </c>
    </row>
    <row r="665" spans="1:9" ht="11.25" customHeight="1">
      <c r="A665" t="s">
        <v>2246</v>
      </c>
      <c r="B665" t="s">
        <v>16</v>
      </c>
      <c r="C665" t="s">
        <v>2949</v>
      </c>
      <c r="D665" t="s">
        <v>2950</v>
      </c>
      <c r="E665" t="s">
        <v>2951</v>
      </c>
      <c r="F665" t="s">
        <v>2250</v>
      </c>
      <c r="G665" t="s">
        <v>2952</v>
      </c>
      <c r="H665" t="s">
        <v>28</v>
      </c>
      <c r="I665" t="s">
        <v>892</v>
      </c>
    </row>
    <row r="666" spans="1:9" ht="11.25" customHeight="1">
      <c r="A666" t="s">
        <v>2246</v>
      </c>
      <c r="B666" t="s">
        <v>16</v>
      </c>
      <c r="C666" t="s">
        <v>2953</v>
      </c>
      <c r="D666" t="s">
        <v>2954</v>
      </c>
      <c r="E666" t="s">
        <v>2955</v>
      </c>
      <c r="F666" t="s">
        <v>2264</v>
      </c>
      <c r="G666" t="s">
        <v>2956</v>
      </c>
      <c r="H666" t="s">
        <v>28</v>
      </c>
      <c r="I666" t="s">
        <v>892</v>
      </c>
    </row>
    <row r="667" spans="1:9" ht="11.25" customHeight="1">
      <c r="A667" t="s">
        <v>2246</v>
      </c>
      <c r="B667" t="s">
        <v>16</v>
      </c>
      <c r="C667" t="s">
        <v>2960</v>
      </c>
      <c r="D667" t="s">
        <v>2961</v>
      </c>
      <c r="E667" t="s">
        <v>2962</v>
      </c>
      <c r="F667" t="s">
        <v>2295</v>
      </c>
      <c r="G667" t="s">
        <v>2963</v>
      </c>
      <c r="H667" t="s">
        <v>28</v>
      </c>
      <c r="I667" t="s">
        <v>892</v>
      </c>
    </row>
    <row r="668" spans="1:9" ht="11.25" customHeight="1">
      <c r="A668" t="s">
        <v>2246</v>
      </c>
      <c r="B668" t="s">
        <v>16</v>
      </c>
      <c r="C668" t="s">
        <v>2964</v>
      </c>
      <c r="D668" t="s">
        <v>2965</v>
      </c>
      <c r="E668" t="s">
        <v>2966</v>
      </c>
      <c r="F668" t="s">
        <v>2347</v>
      </c>
      <c r="G668" t="s">
        <v>2967</v>
      </c>
      <c r="H668" t="s">
        <v>28</v>
      </c>
      <c r="I668" t="s">
        <v>892</v>
      </c>
    </row>
    <row r="669" spans="1:9" ht="11.25" customHeight="1">
      <c r="A669" t="s">
        <v>2246</v>
      </c>
      <c r="B669" t="s">
        <v>16</v>
      </c>
      <c r="C669" t="s">
        <v>2972</v>
      </c>
      <c r="D669" t="s">
        <v>2973</v>
      </c>
      <c r="E669" t="s">
        <v>2974</v>
      </c>
      <c r="F669" t="s">
        <v>50</v>
      </c>
      <c r="G669" t="s">
        <v>2975</v>
      </c>
      <c r="H669" t="s">
        <v>28</v>
      </c>
      <c r="I669" t="s">
        <v>892</v>
      </c>
    </row>
    <row r="670" spans="1:9" ht="11.25" customHeight="1">
      <c r="A670" t="s">
        <v>2246</v>
      </c>
      <c r="B670" t="s">
        <v>16</v>
      </c>
      <c r="C670" t="s">
        <v>2986</v>
      </c>
      <c r="D670" t="s">
        <v>2987</v>
      </c>
      <c r="E670" t="s">
        <v>2988</v>
      </c>
      <c r="F670" t="s">
        <v>2989</v>
      </c>
      <c r="G670" t="s">
        <v>2990</v>
      </c>
      <c r="H670" t="s">
        <v>28</v>
      </c>
      <c r="I670" t="s">
        <v>892</v>
      </c>
    </row>
    <row r="671" spans="1:9" ht="11.25" customHeight="1">
      <c r="A671" t="s">
        <v>2246</v>
      </c>
      <c r="B671" t="s">
        <v>16</v>
      </c>
      <c r="C671" t="s">
        <v>2994</v>
      </c>
      <c r="D671" t="s">
        <v>2995</v>
      </c>
      <c r="E671" t="s">
        <v>2996</v>
      </c>
      <c r="F671" t="s">
        <v>2352</v>
      </c>
      <c r="G671" t="s">
        <v>28</v>
      </c>
      <c r="H671" t="s">
        <v>28</v>
      </c>
      <c r="I671" t="s">
        <v>892</v>
      </c>
    </row>
    <row r="672" spans="1:9" ht="11.25" customHeight="1">
      <c r="A672" t="s">
        <v>2246</v>
      </c>
      <c r="B672" t="s">
        <v>16</v>
      </c>
      <c r="C672" t="s">
        <v>3001</v>
      </c>
      <c r="D672" t="s">
        <v>3002</v>
      </c>
      <c r="E672" t="s">
        <v>3003</v>
      </c>
      <c r="F672" t="s">
        <v>2582</v>
      </c>
      <c r="G672" t="s">
        <v>3004</v>
      </c>
      <c r="H672" t="s">
        <v>28</v>
      </c>
      <c r="I672" t="s">
        <v>892</v>
      </c>
    </row>
    <row r="673" spans="1:9" ht="11.25" customHeight="1">
      <c r="A673" t="s">
        <v>2246</v>
      </c>
      <c r="B673" t="s">
        <v>16</v>
      </c>
      <c r="C673" t="s">
        <v>3013</v>
      </c>
      <c r="D673" t="s">
        <v>3014</v>
      </c>
      <c r="E673" t="s">
        <v>3015</v>
      </c>
      <c r="F673" t="s">
        <v>2264</v>
      </c>
      <c r="G673" t="s">
        <v>3016</v>
      </c>
      <c r="H673" t="s">
        <v>28</v>
      </c>
      <c r="I673" t="s">
        <v>892</v>
      </c>
    </row>
    <row r="674" spans="1:9" ht="11.25" customHeight="1">
      <c r="A674" t="s">
        <v>2246</v>
      </c>
      <c r="B674" t="s">
        <v>16</v>
      </c>
      <c r="C674" t="s">
        <v>3027</v>
      </c>
      <c r="D674" t="s">
        <v>3028</v>
      </c>
      <c r="E674" t="s">
        <v>3029</v>
      </c>
      <c r="F674" t="s">
        <v>2295</v>
      </c>
      <c r="G674" t="s">
        <v>3030</v>
      </c>
      <c r="H674" t="s">
        <v>28</v>
      </c>
      <c r="I674" t="s">
        <v>892</v>
      </c>
    </row>
    <row r="675" spans="1:9" ht="11.25" customHeight="1">
      <c r="A675" t="s">
        <v>2246</v>
      </c>
      <c r="B675" t="s">
        <v>16</v>
      </c>
      <c r="C675" t="s">
        <v>3031</v>
      </c>
      <c r="D675" t="s">
        <v>3032</v>
      </c>
      <c r="E675" t="s">
        <v>3033</v>
      </c>
      <c r="F675" t="s">
        <v>2264</v>
      </c>
      <c r="G675" t="s">
        <v>3034</v>
      </c>
      <c r="H675" t="s">
        <v>28</v>
      </c>
      <c r="I675" t="s">
        <v>892</v>
      </c>
    </row>
    <row r="676" spans="1:9" ht="11.25" customHeight="1">
      <c r="A676" t="s">
        <v>2246</v>
      </c>
      <c r="B676" t="s">
        <v>16</v>
      </c>
      <c r="C676" t="s">
        <v>3035</v>
      </c>
      <c r="D676" t="s">
        <v>3036</v>
      </c>
      <c r="E676" t="s">
        <v>3037</v>
      </c>
      <c r="F676" t="s">
        <v>2582</v>
      </c>
      <c r="G676" t="s">
        <v>3038</v>
      </c>
      <c r="H676" t="s">
        <v>28</v>
      </c>
      <c r="I676" t="s">
        <v>892</v>
      </c>
    </row>
    <row r="677" spans="1:9" ht="11.25" customHeight="1">
      <c r="A677" t="s">
        <v>2246</v>
      </c>
      <c r="B677" t="s">
        <v>16</v>
      </c>
      <c r="C677" t="s">
        <v>3039</v>
      </c>
      <c r="D677" t="s">
        <v>3040</v>
      </c>
      <c r="E677" t="s">
        <v>3041</v>
      </c>
      <c r="F677" t="s">
        <v>2295</v>
      </c>
      <c r="G677" t="s">
        <v>3042</v>
      </c>
      <c r="H677" t="s">
        <v>28</v>
      </c>
      <c r="I677" t="s">
        <v>892</v>
      </c>
    </row>
    <row r="678" spans="1:9" ht="11.25" customHeight="1">
      <c r="A678" t="s">
        <v>2246</v>
      </c>
      <c r="B678" t="s">
        <v>16</v>
      </c>
      <c r="C678" t="s">
        <v>3050</v>
      </c>
      <c r="D678" t="s">
        <v>3051</v>
      </c>
      <c r="E678" t="s">
        <v>3052</v>
      </c>
      <c r="F678" t="s">
        <v>2295</v>
      </c>
      <c r="G678" t="s">
        <v>28</v>
      </c>
      <c r="H678" t="s">
        <v>28</v>
      </c>
      <c r="I678" t="s">
        <v>892</v>
      </c>
    </row>
    <row r="679" spans="1:9" ht="11.25" customHeight="1">
      <c r="A679" t="s">
        <v>2246</v>
      </c>
      <c r="B679" t="s">
        <v>16</v>
      </c>
      <c r="C679" t="s">
        <v>3061</v>
      </c>
      <c r="D679" t="s">
        <v>3062</v>
      </c>
      <c r="E679" t="s">
        <v>3063</v>
      </c>
      <c r="F679" t="s">
        <v>2268</v>
      </c>
      <c r="G679" t="s">
        <v>3064</v>
      </c>
      <c r="H679" t="s">
        <v>28</v>
      </c>
      <c r="I679" t="s">
        <v>892</v>
      </c>
    </row>
    <row r="680" spans="1:9" ht="11.25" customHeight="1">
      <c r="A680" t="s">
        <v>2246</v>
      </c>
      <c r="B680" t="s">
        <v>16</v>
      </c>
      <c r="C680" t="s">
        <v>3068</v>
      </c>
      <c r="D680" t="s">
        <v>3069</v>
      </c>
      <c r="E680" t="s">
        <v>3070</v>
      </c>
      <c r="F680" t="s">
        <v>2400</v>
      </c>
      <c r="G680" t="s">
        <v>3071</v>
      </c>
      <c r="H680" t="s">
        <v>28</v>
      </c>
      <c r="I680" t="s">
        <v>892</v>
      </c>
    </row>
    <row r="681" spans="1:9" ht="11.25" customHeight="1">
      <c r="A681" t="s">
        <v>2246</v>
      </c>
      <c r="B681" t="s">
        <v>16</v>
      </c>
      <c r="C681" t="s">
        <v>3072</v>
      </c>
      <c r="D681" t="s">
        <v>3073</v>
      </c>
      <c r="E681" t="s">
        <v>3074</v>
      </c>
      <c r="F681" t="s">
        <v>2264</v>
      </c>
      <c r="G681" t="s">
        <v>3075</v>
      </c>
      <c r="H681" t="s">
        <v>28</v>
      </c>
      <c r="I681" t="s">
        <v>892</v>
      </c>
    </row>
    <row r="682" spans="1:9" ht="11.25" customHeight="1">
      <c r="A682" t="s">
        <v>2246</v>
      </c>
      <c r="B682" t="s">
        <v>16</v>
      </c>
      <c r="C682" t="s">
        <v>3076</v>
      </c>
      <c r="D682" t="s">
        <v>3077</v>
      </c>
      <c r="E682" t="s">
        <v>3078</v>
      </c>
      <c r="F682" t="s">
        <v>2352</v>
      </c>
      <c r="G682" t="s">
        <v>3079</v>
      </c>
      <c r="H682" t="s">
        <v>28</v>
      </c>
      <c r="I682" t="s">
        <v>892</v>
      </c>
    </row>
    <row r="683" spans="1:9" ht="11.25" customHeight="1">
      <c r="A683" t="s">
        <v>2246</v>
      </c>
      <c r="B683" t="s">
        <v>16</v>
      </c>
      <c r="C683" t="s">
        <v>3080</v>
      </c>
      <c r="D683" t="s">
        <v>3081</v>
      </c>
      <c r="E683" t="s">
        <v>3082</v>
      </c>
      <c r="F683" t="s">
        <v>2352</v>
      </c>
      <c r="G683" t="s">
        <v>3083</v>
      </c>
      <c r="H683" t="s">
        <v>28</v>
      </c>
      <c r="I683" t="s">
        <v>892</v>
      </c>
    </row>
    <row r="684" spans="1:9" ht="11.25" customHeight="1">
      <c r="A684" t="s">
        <v>2246</v>
      </c>
      <c r="B684" t="s">
        <v>16</v>
      </c>
      <c r="C684" t="s">
        <v>3087</v>
      </c>
      <c r="D684" t="s">
        <v>3088</v>
      </c>
      <c r="E684" t="s">
        <v>3089</v>
      </c>
      <c r="F684" t="s">
        <v>2687</v>
      </c>
      <c r="G684" t="s">
        <v>28</v>
      </c>
      <c r="H684" t="s">
        <v>28</v>
      </c>
      <c r="I684" t="s">
        <v>892</v>
      </c>
    </row>
    <row r="685" spans="1:9" ht="11.25" customHeight="1">
      <c r="A685" t="s">
        <v>2246</v>
      </c>
      <c r="B685" t="s">
        <v>16</v>
      </c>
      <c r="C685" t="s">
        <v>3090</v>
      </c>
      <c r="D685" t="s">
        <v>3091</v>
      </c>
      <c r="E685" t="s">
        <v>3092</v>
      </c>
      <c r="F685" t="s">
        <v>2687</v>
      </c>
      <c r="G685" t="s">
        <v>28</v>
      </c>
      <c r="H685" t="s">
        <v>28</v>
      </c>
      <c r="I685" t="s">
        <v>892</v>
      </c>
    </row>
    <row r="686" spans="1:9" ht="11.25" customHeight="1">
      <c r="A686" t="s">
        <v>2246</v>
      </c>
      <c r="B686" t="s">
        <v>16</v>
      </c>
      <c r="C686" t="s">
        <v>3093</v>
      </c>
      <c r="D686" t="s">
        <v>3094</v>
      </c>
      <c r="E686" t="s">
        <v>3095</v>
      </c>
      <c r="F686" t="s">
        <v>2687</v>
      </c>
      <c r="G686" t="s">
        <v>3096</v>
      </c>
      <c r="H686" t="s">
        <v>28</v>
      </c>
      <c r="I686" t="s">
        <v>892</v>
      </c>
    </row>
    <row r="687" spans="1:9" ht="11.25" customHeight="1">
      <c r="A687" t="s">
        <v>2246</v>
      </c>
      <c r="B687" t="s">
        <v>16</v>
      </c>
      <c r="C687" t="s">
        <v>3097</v>
      </c>
      <c r="D687" t="s">
        <v>3098</v>
      </c>
      <c r="E687" t="s">
        <v>3099</v>
      </c>
      <c r="F687" t="s">
        <v>2687</v>
      </c>
      <c r="G687" t="s">
        <v>3100</v>
      </c>
      <c r="H687" t="s">
        <v>28</v>
      </c>
      <c r="I687" t="s">
        <v>892</v>
      </c>
    </row>
    <row r="688" spans="1:9" ht="11.25" customHeight="1">
      <c r="A688" t="s">
        <v>2246</v>
      </c>
      <c r="B688" t="s">
        <v>16</v>
      </c>
      <c r="C688" t="s">
        <v>3112</v>
      </c>
      <c r="D688" t="s">
        <v>3113</v>
      </c>
      <c r="E688" t="s">
        <v>3114</v>
      </c>
      <c r="F688" t="s">
        <v>2400</v>
      </c>
      <c r="G688" t="s">
        <v>28</v>
      </c>
      <c r="H688" t="s">
        <v>28</v>
      </c>
      <c r="I688" t="s">
        <v>892</v>
      </c>
    </row>
    <row r="689" spans="1:9" ht="11.25" customHeight="1">
      <c r="A689" t="s">
        <v>2246</v>
      </c>
      <c r="B689" t="s">
        <v>16</v>
      </c>
      <c r="C689" t="s">
        <v>3115</v>
      </c>
      <c r="D689" t="s">
        <v>3116</v>
      </c>
      <c r="E689" t="s">
        <v>3117</v>
      </c>
      <c r="F689" t="s">
        <v>2582</v>
      </c>
      <c r="G689" t="s">
        <v>28</v>
      </c>
      <c r="H689" t="s">
        <v>28</v>
      </c>
      <c r="I689" t="s">
        <v>892</v>
      </c>
    </row>
    <row r="690" spans="1:9" ht="11.25" customHeight="1">
      <c r="A690" t="s">
        <v>2246</v>
      </c>
      <c r="B690" t="s">
        <v>16</v>
      </c>
      <c r="C690" t="s">
        <v>3118</v>
      </c>
      <c r="D690" t="s">
        <v>3119</v>
      </c>
      <c r="E690" t="s">
        <v>3120</v>
      </c>
      <c r="F690" t="s">
        <v>2687</v>
      </c>
      <c r="G690" t="s">
        <v>3121</v>
      </c>
      <c r="H690" t="s">
        <v>28</v>
      </c>
      <c r="I690" t="s">
        <v>892</v>
      </c>
    </row>
    <row r="691" spans="1:9" ht="11.25" customHeight="1">
      <c r="A691" t="s">
        <v>2246</v>
      </c>
      <c r="B691" t="s">
        <v>16</v>
      </c>
      <c r="C691" t="s">
        <v>3126</v>
      </c>
      <c r="D691" t="s">
        <v>3127</v>
      </c>
      <c r="E691" t="s">
        <v>3128</v>
      </c>
      <c r="F691" t="s">
        <v>2582</v>
      </c>
      <c r="G691" t="s">
        <v>28</v>
      </c>
      <c r="H691" t="s">
        <v>28</v>
      </c>
      <c r="I691" t="s">
        <v>892</v>
      </c>
    </row>
    <row r="692" spans="1:9" ht="11.25" customHeight="1">
      <c r="A692" t="s">
        <v>2246</v>
      </c>
      <c r="B692" t="s">
        <v>16</v>
      </c>
      <c r="C692" t="s">
        <v>3129</v>
      </c>
      <c r="D692" t="s">
        <v>3130</v>
      </c>
      <c r="E692" t="s">
        <v>3131</v>
      </c>
      <c r="F692" t="s">
        <v>2582</v>
      </c>
      <c r="G692" t="s">
        <v>3132</v>
      </c>
      <c r="H692" t="s">
        <v>28</v>
      </c>
      <c r="I692" t="s">
        <v>892</v>
      </c>
    </row>
    <row r="693" spans="1:9" ht="11.25" customHeight="1">
      <c r="A693" t="s">
        <v>2246</v>
      </c>
      <c r="B693" t="s">
        <v>16</v>
      </c>
      <c r="C693" t="s">
        <v>3137</v>
      </c>
      <c r="D693" t="s">
        <v>3138</v>
      </c>
      <c r="E693" t="s">
        <v>3139</v>
      </c>
      <c r="F693" t="s">
        <v>2250</v>
      </c>
      <c r="G693" t="s">
        <v>3140</v>
      </c>
      <c r="H693" t="s">
        <v>28</v>
      </c>
      <c r="I693" t="s">
        <v>892</v>
      </c>
    </row>
    <row r="694" spans="1:9" ht="11.25" customHeight="1">
      <c r="A694" t="s">
        <v>2246</v>
      </c>
      <c r="B694" t="s">
        <v>16</v>
      </c>
      <c r="C694" t="s">
        <v>3144</v>
      </c>
      <c r="D694" t="s">
        <v>3145</v>
      </c>
      <c r="E694" t="s">
        <v>3146</v>
      </c>
      <c r="F694" t="s">
        <v>2295</v>
      </c>
      <c r="G694" t="s">
        <v>3147</v>
      </c>
      <c r="H694" t="s">
        <v>28</v>
      </c>
      <c r="I694" t="s">
        <v>892</v>
      </c>
    </row>
    <row r="695" spans="1:9" ht="11.25" customHeight="1">
      <c r="A695" t="s">
        <v>2246</v>
      </c>
      <c r="B695" t="s">
        <v>16</v>
      </c>
      <c r="C695" t="s">
        <v>3148</v>
      </c>
      <c r="D695" t="s">
        <v>3149</v>
      </c>
      <c r="E695" t="s">
        <v>3150</v>
      </c>
      <c r="F695" t="s">
        <v>2250</v>
      </c>
      <c r="G695" t="s">
        <v>2269</v>
      </c>
      <c r="H695" t="s">
        <v>28</v>
      </c>
      <c r="I695" t="s">
        <v>892</v>
      </c>
    </row>
    <row r="696" spans="1:9" ht="11.25" customHeight="1">
      <c r="A696" t="s">
        <v>2246</v>
      </c>
      <c r="B696" t="s">
        <v>16</v>
      </c>
      <c r="C696" t="s">
        <v>3158</v>
      </c>
      <c r="D696" t="s">
        <v>3159</v>
      </c>
      <c r="E696" t="s">
        <v>3160</v>
      </c>
      <c r="F696" t="s">
        <v>2286</v>
      </c>
      <c r="G696" t="s">
        <v>28</v>
      </c>
      <c r="H696" t="s">
        <v>28</v>
      </c>
      <c r="I696" t="s">
        <v>892</v>
      </c>
    </row>
    <row r="697" spans="1:9" ht="11.25" customHeight="1">
      <c r="A697" t="s">
        <v>2246</v>
      </c>
      <c r="B697" t="s">
        <v>16</v>
      </c>
      <c r="C697" t="s">
        <v>3169</v>
      </c>
      <c r="D697" t="s">
        <v>3170</v>
      </c>
      <c r="E697" t="s">
        <v>3171</v>
      </c>
      <c r="F697" t="s">
        <v>2250</v>
      </c>
      <c r="G697" t="s">
        <v>3172</v>
      </c>
      <c r="H697" t="s">
        <v>28</v>
      </c>
      <c r="I697" t="s">
        <v>892</v>
      </c>
    </row>
    <row r="698" spans="1:9" ht="11.25" customHeight="1">
      <c r="A698" t="s">
        <v>2246</v>
      </c>
      <c r="B698" t="s">
        <v>16</v>
      </c>
      <c r="C698" t="s">
        <v>3173</v>
      </c>
      <c r="D698" t="s">
        <v>3174</v>
      </c>
      <c r="E698" t="s">
        <v>3175</v>
      </c>
      <c r="F698" t="s">
        <v>2352</v>
      </c>
      <c r="G698" t="s">
        <v>3176</v>
      </c>
      <c r="H698" t="s">
        <v>28</v>
      </c>
      <c r="I698" t="s">
        <v>892</v>
      </c>
    </row>
    <row r="699" spans="1:9" ht="11.25" customHeight="1">
      <c r="A699" t="s">
        <v>2246</v>
      </c>
      <c r="B699" t="s">
        <v>16</v>
      </c>
      <c r="C699" t="s">
        <v>3181</v>
      </c>
      <c r="D699" t="s">
        <v>3182</v>
      </c>
      <c r="E699" t="s">
        <v>3183</v>
      </c>
      <c r="F699" t="s">
        <v>2347</v>
      </c>
      <c r="G699" t="s">
        <v>3184</v>
      </c>
      <c r="H699" t="s">
        <v>28</v>
      </c>
      <c r="I699" t="s">
        <v>892</v>
      </c>
    </row>
    <row r="700" spans="1:9" ht="11.25" customHeight="1">
      <c r="A700" t="s">
        <v>2246</v>
      </c>
      <c r="B700" t="s">
        <v>16</v>
      </c>
      <c r="C700" t="s">
        <v>3190</v>
      </c>
      <c r="D700" t="s">
        <v>3191</v>
      </c>
      <c r="E700" t="s">
        <v>3192</v>
      </c>
      <c r="F700" t="s">
        <v>2295</v>
      </c>
      <c r="G700" t="s">
        <v>28</v>
      </c>
      <c r="H700" t="s">
        <v>28</v>
      </c>
      <c r="I700" t="s">
        <v>892</v>
      </c>
    </row>
    <row r="701" spans="1:9" ht="11.25" customHeight="1">
      <c r="A701" t="s">
        <v>2246</v>
      </c>
      <c r="B701" t="s">
        <v>16</v>
      </c>
      <c r="C701" t="s">
        <v>3193</v>
      </c>
      <c r="D701" t="s">
        <v>3194</v>
      </c>
      <c r="E701" t="s">
        <v>3195</v>
      </c>
      <c r="F701" t="s">
        <v>2295</v>
      </c>
      <c r="G701" t="s">
        <v>28</v>
      </c>
      <c r="H701" t="s">
        <v>28</v>
      </c>
      <c r="I701" t="s">
        <v>892</v>
      </c>
    </row>
    <row r="702" spans="1:9" ht="11.25" customHeight="1">
      <c r="A702" t="s">
        <v>2246</v>
      </c>
      <c r="B702" t="s">
        <v>16</v>
      </c>
      <c r="C702" t="s">
        <v>3200</v>
      </c>
      <c r="D702" t="s">
        <v>3201</v>
      </c>
      <c r="E702" t="s">
        <v>3202</v>
      </c>
      <c r="F702" t="s">
        <v>2295</v>
      </c>
      <c r="G702" t="s">
        <v>28</v>
      </c>
      <c r="H702" t="s">
        <v>28</v>
      </c>
      <c r="I702" t="s">
        <v>892</v>
      </c>
    </row>
    <row r="703" spans="1:9" ht="11.25" customHeight="1">
      <c r="A703" t="s">
        <v>2246</v>
      </c>
      <c r="B703" t="s">
        <v>16</v>
      </c>
      <c r="C703" t="s">
        <v>3203</v>
      </c>
      <c r="D703" t="s">
        <v>3204</v>
      </c>
      <c r="E703" t="s">
        <v>3205</v>
      </c>
      <c r="F703" t="s">
        <v>3206</v>
      </c>
      <c r="G703" t="s">
        <v>28</v>
      </c>
      <c r="H703" t="s">
        <v>28</v>
      </c>
      <c r="I703" t="s">
        <v>892</v>
      </c>
    </row>
    <row r="704" spans="1:9" ht="11.25" customHeight="1">
      <c r="A704" t="s">
        <v>2246</v>
      </c>
      <c r="B704" t="s">
        <v>16</v>
      </c>
      <c r="C704" t="s">
        <v>3219</v>
      </c>
      <c r="D704" t="s">
        <v>3220</v>
      </c>
      <c r="E704" t="s">
        <v>3221</v>
      </c>
      <c r="F704" t="s">
        <v>3222</v>
      </c>
      <c r="G704" t="s">
        <v>28</v>
      </c>
      <c r="H704" t="s">
        <v>28</v>
      </c>
      <c r="I704" t="s">
        <v>892</v>
      </c>
    </row>
    <row r="705" spans="1:9" ht="11.25" customHeight="1">
      <c r="A705" t="s">
        <v>2246</v>
      </c>
      <c r="B705" t="s">
        <v>16</v>
      </c>
      <c r="C705" t="s">
        <v>3223</v>
      </c>
      <c r="D705" t="s">
        <v>3224</v>
      </c>
      <c r="E705" t="s">
        <v>3225</v>
      </c>
      <c r="F705" t="s">
        <v>50</v>
      </c>
      <c r="G705" t="s">
        <v>28</v>
      </c>
      <c r="H705" t="s">
        <v>28</v>
      </c>
      <c r="I705" t="s">
        <v>892</v>
      </c>
    </row>
    <row r="706" spans="1:9" ht="11.25" customHeight="1">
      <c r="A706" t="s">
        <v>2246</v>
      </c>
      <c r="B706" t="s">
        <v>16</v>
      </c>
      <c r="C706" t="s">
        <v>3226</v>
      </c>
      <c r="D706" t="s">
        <v>3227</v>
      </c>
      <c r="E706" t="s">
        <v>3228</v>
      </c>
      <c r="F706" t="s">
        <v>2582</v>
      </c>
      <c r="G706" t="s">
        <v>28</v>
      </c>
      <c r="H706" t="s">
        <v>28</v>
      </c>
      <c r="I706" t="s">
        <v>892</v>
      </c>
    </row>
    <row r="707" spans="1:9" ht="11.25" customHeight="1">
      <c r="A707" t="s">
        <v>2246</v>
      </c>
      <c r="B707" t="s">
        <v>16</v>
      </c>
      <c r="C707" t="s">
        <v>3235</v>
      </c>
      <c r="D707" t="s">
        <v>3236</v>
      </c>
      <c r="E707" t="s">
        <v>3237</v>
      </c>
      <c r="F707" t="s">
        <v>3188</v>
      </c>
      <c r="G707" t="s">
        <v>28</v>
      </c>
      <c r="H707" t="s">
        <v>28</v>
      </c>
      <c r="I707" t="s">
        <v>892</v>
      </c>
    </row>
    <row r="708" spans="1:9" ht="11.25" customHeight="1">
      <c r="A708" t="s">
        <v>2246</v>
      </c>
      <c r="B708" t="s">
        <v>16</v>
      </c>
      <c r="C708" t="s">
        <v>3238</v>
      </c>
      <c r="D708" t="s">
        <v>3239</v>
      </c>
      <c r="E708" t="s">
        <v>3240</v>
      </c>
      <c r="F708" t="s">
        <v>2295</v>
      </c>
      <c r="G708" t="s">
        <v>28</v>
      </c>
      <c r="H708" t="s">
        <v>28</v>
      </c>
      <c r="I708" t="s">
        <v>892</v>
      </c>
    </row>
    <row r="709" spans="1:9" ht="11.25" customHeight="1">
      <c r="A709" t="s">
        <v>2246</v>
      </c>
      <c r="B709" t="s">
        <v>16</v>
      </c>
      <c r="C709" t="s">
        <v>3247</v>
      </c>
      <c r="D709" t="s">
        <v>3248</v>
      </c>
      <c r="E709" t="s">
        <v>3249</v>
      </c>
      <c r="F709" t="s">
        <v>2250</v>
      </c>
      <c r="G709" t="s">
        <v>28</v>
      </c>
      <c r="H709" t="s">
        <v>28</v>
      </c>
      <c r="I709" t="s">
        <v>892</v>
      </c>
    </row>
    <row r="710" spans="1:9" ht="11.25" customHeight="1">
      <c r="A710" t="s">
        <v>2246</v>
      </c>
      <c r="B710" t="s">
        <v>16</v>
      </c>
      <c r="C710" t="s">
        <v>3253</v>
      </c>
      <c r="D710" t="s">
        <v>3254</v>
      </c>
      <c r="E710" t="s">
        <v>3255</v>
      </c>
      <c r="F710" t="s">
        <v>2384</v>
      </c>
      <c r="G710" t="s">
        <v>28</v>
      </c>
      <c r="H710" t="s">
        <v>28</v>
      </c>
      <c r="I710" t="s">
        <v>892</v>
      </c>
    </row>
    <row r="711" spans="1:9" ht="11.25" customHeight="1">
      <c r="A711" t="s">
        <v>2246</v>
      </c>
      <c r="B711" t="s">
        <v>16</v>
      </c>
      <c r="C711" t="s">
        <v>3256</v>
      </c>
      <c r="D711" t="s">
        <v>3257</v>
      </c>
      <c r="E711" t="s">
        <v>3258</v>
      </c>
      <c r="F711" t="s">
        <v>2250</v>
      </c>
      <c r="G711" t="s">
        <v>28</v>
      </c>
      <c r="H711" t="s">
        <v>28</v>
      </c>
      <c r="I711" t="s">
        <v>892</v>
      </c>
    </row>
    <row r="712" spans="1:9" ht="11.25" customHeight="1">
      <c r="A712" t="s">
        <v>2246</v>
      </c>
      <c r="B712" t="s">
        <v>16</v>
      </c>
      <c r="C712" t="s">
        <v>3270</v>
      </c>
      <c r="D712" t="s">
        <v>3271</v>
      </c>
      <c r="E712" t="s">
        <v>3272</v>
      </c>
      <c r="F712" t="s">
        <v>2343</v>
      </c>
      <c r="G712" t="s">
        <v>28</v>
      </c>
      <c r="H712" t="s">
        <v>28</v>
      </c>
      <c r="I712" t="s">
        <v>892</v>
      </c>
    </row>
    <row r="713" spans="1:9" ht="11.25" customHeight="1">
      <c r="A713" t="s">
        <v>2246</v>
      </c>
      <c r="B713" t="s">
        <v>16</v>
      </c>
      <c r="C713" t="s">
        <v>3276</v>
      </c>
      <c r="D713" t="s">
        <v>3277</v>
      </c>
      <c r="E713" t="s">
        <v>3278</v>
      </c>
      <c r="F713" t="s">
        <v>50</v>
      </c>
      <c r="G713" t="s">
        <v>28</v>
      </c>
      <c r="H713" t="s">
        <v>28</v>
      </c>
      <c r="I713" t="s">
        <v>892</v>
      </c>
    </row>
    <row r="714" spans="1:9" ht="11.25" customHeight="1">
      <c r="A714" t="s">
        <v>2246</v>
      </c>
      <c r="B714" t="s">
        <v>16</v>
      </c>
      <c r="C714" t="s">
        <v>3286</v>
      </c>
      <c r="D714" t="s">
        <v>3287</v>
      </c>
      <c r="E714" t="s">
        <v>3288</v>
      </c>
      <c r="F714" t="s">
        <v>3289</v>
      </c>
      <c r="G714" t="s">
        <v>28</v>
      </c>
      <c r="H714" t="s">
        <v>28</v>
      </c>
      <c r="I714" t="s">
        <v>892</v>
      </c>
    </row>
    <row r="715" spans="1:9" ht="11.25" customHeight="1">
      <c r="A715" t="s">
        <v>2246</v>
      </c>
      <c r="B715" t="s">
        <v>16</v>
      </c>
      <c r="C715" t="s">
        <v>3293</v>
      </c>
      <c r="D715" t="s">
        <v>3294</v>
      </c>
      <c r="E715" t="s">
        <v>3295</v>
      </c>
      <c r="F715" t="s">
        <v>2332</v>
      </c>
      <c r="G715" t="s">
        <v>28</v>
      </c>
      <c r="H715" t="s">
        <v>28</v>
      </c>
      <c r="I715" t="s">
        <v>892</v>
      </c>
    </row>
    <row r="716" spans="1:9" ht="11.25" customHeight="1">
      <c r="A716" t="s">
        <v>2246</v>
      </c>
      <c r="B716" t="s">
        <v>16</v>
      </c>
      <c r="C716" t="s">
        <v>3299</v>
      </c>
      <c r="D716" t="s">
        <v>3300</v>
      </c>
      <c r="E716" t="s">
        <v>3301</v>
      </c>
      <c r="F716" t="s">
        <v>2268</v>
      </c>
      <c r="G716" t="s">
        <v>28</v>
      </c>
      <c r="H716" t="s">
        <v>28</v>
      </c>
      <c r="I716" t="s">
        <v>892</v>
      </c>
    </row>
    <row r="717" spans="1:9" ht="11.25" customHeight="1">
      <c r="A717" t="s">
        <v>2246</v>
      </c>
      <c r="B717" t="s">
        <v>16</v>
      </c>
      <c r="C717" t="s">
        <v>3314</v>
      </c>
      <c r="D717" t="s">
        <v>3315</v>
      </c>
      <c r="E717" t="s">
        <v>3316</v>
      </c>
      <c r="F717" t="s">
        <v>2250</v>
      </c>
      <c r="G717" t="s">
        <v>28</v>
      </c>
      <c r="H717" t="s">
        <v>28</v>
      </c>
      <c r="I717" t="s">
        <v>892</v>
      </c>
    </row>
    <row r="718" spans="1:9" ht="11.25" customHeight="1">
      <c r="A718" t="s">
        <v>2246</v>
      </c>
      <c r="B718" t="s">
        <v>16</v>
      </c>
      <c r="C718" t="s">
        <v>3320</v>
      </c>
      <c r="D718" t="s">
        <v>3321</v>
      </c>
      <c r="E718" t="s">
        <v>3322</v>
      </c>
      <c r="F718" t="s">
        <v>2268</v>
      </c>
      <c r="G718" t="s">
        <v>28</v>
      </c>
      <c r="H718" t="s">
        <v>28</v>
      </c>
      <c r="I718" t="s">
        <v>892</v>
      </c>
    </row>
    <row r="719" spans="1:9" ht="11.25" customHeight="1">
      <c r="A719" t="s">
        <v>2246</v>
      </c>
      <c r="B719" t="s">
        <v>16</v>
      </c>
      <c r="C719" t="s">
        <v>3336</v>
      </c>
      <c r="D719" t="s">
        <v>3337</v>
      </c>
      <c r="E719" t="s">
        <v>3338</v>
      </c>
      <c r="F719" t="s">
        <v>2574</v>
      </c>
      <c r="G719" t="s">
        <v>28</v>
      </c>
      <c r="H719" t="s">
        <v>28</v>
      </c>
      <c r="I719" t="s">
        <v>892</v>
      </c>
    </row>
    <row r="720" spans="1:9" ht="11.25" customHeight="1">
      <c r="A720" t="s">
        <v>2246</v>
      </c>
      <c r="B720" t="s">
        <v>16</v>
      </c>
      <c r="C720" t="s">
        <v>3348</v>
      </c>
      <c r="D720" t="s">
        <v>3349</v>
      </c>
      <c r="E720" t="s">
        <v>3350</v>
      </c>
      <c r="F720" t="s">
        <v>2325</v>
      </c>
      <c r="G720" t="s">
        <v>28</v>
      </c>
      <c r="H720" t="s">
        <v>28</v>
      </c>
      <c r="I720" t="s">
        <v>892</v>
      </c>
    </row>
    <row r="721" spans="1:9" ht="11.25" customHeight="1">
      <c r="A721" t="s">
        <v>2246</v>
      </c>
      <c r="B721" t="s">
        <v>16</v>
      </c>
      <c r="C721" t="s">
        <v>4208</v>
      </c>
      <c r="D721" t="s">
        <v>4209</v>
      </c>
      <c r="E721" t="s">
        <v>3356</v>
      </c>
      <c r="F721" t="s">
        <v>2332</v>
      </c>
      <c r="G721" t="s">
        <v>28</v>
      </c>
      <c r="H721" t="s">
        <v>28</v>
      </c>
      <c r="I721" t="s">
        <v>892</v>
      </c>
    </row>
    <row r="722" spans="1:9" ht="11.25" customHeight="1">
      <c r="A722" t="s">
        <v>2246</v>
      </c>
      <c r="B722" t="s">
        <v>16</v>
      </c>
      <c r="C722" t="s">
        <v>3360</v>
      </c>
      <c r="D722" t="s">
        <v>3361</v>
      </c>
      <c r="E722" t="s">
        <v>3362</v>
      </c>
      <c r="F722" t="s">
        <v>2295</v>
      </c>
      <c r="G722" t="s">
        <v>28</v>
      </c>
      <c r="H722" t="s">
        <v>28</v>
      </c>
      <c r="I722" t="s">
        <v>892</v>
      </c>
    </row>
    <row r="723" spans="1:9" ht="11.25" customHeight="1">
      <c r="A723" t="s">
        <v>2246</v>
      </c>
      <c r="B723" t="s">
        <v>16</v>
      </c>
      <c r="C723" t="s">
        <v>3390</v>
      </c>
      <c r="D723" t="s">
        <v>3391</v>
      </c>
      <c r="E723" t="s">
        <v>3392</v>
      </c>
      <c r="F723" t="s">
        <v>3393</v>
      </c>
      <c r="G723" t="s">
        <v>28</v>
      </c>
      <c r="H723" t="s">
        <v>28</v>
      </c>
      <c r="I723" t="s">
        <v>892</v>
      </c>
    </row>
    <row r="724" spans="1:9" ht="11.25" customHeight="1">
      <c r="A724" t="s">
        <v>2246</v>
      </c>
      <c r="B724" t="s">
        <v>16</v>
      </c>
      <c r="C724" t="s">
        <v>3408</v>
      </c>
      <c r="D724" t="s">
        <v>3409</v>
      </c>
      <c r="E724" t="s">
        <v>3410</v>
      </c>
      <c r="F724" t="s">
        <v>2250</v>
      </c>
      <c r="G724" t="s">
        <v>28</v>
      </c>
      <c r="H724" t="s">
        <v>28</v>
      </c>
      <c r="I724" t="s">
        <v>892</v>
      </c>
    </row>
    <row r="725" spans="1:9" ht="11.25" customHeight="1">
      <c r="A725" t="s">
        <v>2246</v>
      </c>
      <c r="B725" t="s">
        <v>16</v>
      </c>
      <c r="C725" t="s">
        <v>3414</v>
      </c>
      <c r="D725" t="s">
        <v>3415</v>
      </c>
      <c r="E725" t="s">
        <v>3416</v>
      </c>
      <c r="F725" t="s">
        <v>2250</v>
      </c>
      <c r="G725" t="s">
        <v>28</v>
      </c>
      <c r="H725" t="s">
        <v>28</v>
      </c>
      <c r="I725" t="s">
        <v>892</v>
      </c>
    </row>
    <row r="726" spans="1:9" ht="11.25" customHeight="1">
      <c r="A726" t="s">
        <v>2246</v>
      </c>
      <c r="B726" t="s">
        <v>16</v>
      </c>
      <c r="C726" t="s">
        <v>3417</v>
      </c>
      <c r="D726" t="s">
        <v>3418</v>
      </c>
      <c r="E726" t="s">
        <v>3419</v>
      </c>
      <c r="F726" t="s">
        <v>2325</v>
      </c>
      <c r="G726" t="s">
        <v>28</v>
      </c>
      <c r="H726" t="s">
        <v>28</v>
      </c>
      <c r="I726" t="s">
        <v>892</v>
      </c>
    </row>
    <row r="727" spans="1:9" ht="11.25" customHeight="1">
      <c r="A727" t="s">
        <v>2246</v>
      </c>
      <c r="B727" t="s">
        <v>16</v>
      </c>
      <c r="C727" t="s">
        <v>3420</v>
      </c>
      <c r="D727" t="s">
        <v>3421</v>
      </c>
      <c r="E727" t="s">
        <v>3422</v>
      </c>
      <c r="F727" t="s">
        <v>2268</v>
      </c>
      <c r="G727" t="s">
        <v>28</v>
      </c>
      <c r="H727" t="s">
        <v>28</v>
      </c>
      <c r="I727" t="s">
        <v>892</v>
      </c>
    </row>
    <row r="728" spans="1:9" ht="11.25" customHeight="1">
      <c r="A728" t="s">
        <v>2246</v>
      </c>
      <c r="B728" t="s">
        <v>16</v>
      </c>
      <c r="C728" t="s">
        <v>3426</v>
      </c>
      <c r="D728" t="s">
        <v>3427</v>
      </c>
      <c r="E728" t="s">
        <v>3272</v>
      </c>
      <c r="F728" t="s">
        <v>50</v>
      </c>
      <c r="G728" t="s">
        <v>28</v>
      </c>
      <c r="H728" t="s">
        <v>28</v>
      </c>
      <c r="I728" t="s">
        <v>892</v>
      </c>
    </row>
    <row r="729" spans="1:9" ht="11.25" customHeight="1">
      <c r="A729" t="s">
        <v>2246</v>
      </c>
      <c r="B729" t="s">
        <v>16</v>
      </c>
      <c r="C729" t="s">
        <v>3440</v>
      </c>
      <c r="D729" t="s">
        <v>3441</v>
      </c>
      <c r="E729" t="s">
        <v>3442</v>
      </c>
      <c r="F729" t="s">
        <v>2303</v>
      </c>
      <c r="G729" t="s">
        <v>28</v>
      </c>
      <c r="H729" t="s">
        <v>28</v>
      </c>
      <c r="I729" t="s">
        <v>892</v>
      </c>
    </row>
    <row r="730" spans="1:9" ht="11.25" customHeight="1">
      <c r="A730" t="s">
        <v>2246</v>
      </c>
      <c r="B730" t="s">
        <v>16</v>
      </c>
      <c r="C730" t="s">
        <v>3455</v>
      </c>
      <c r="D730" t="s">
        <v>3456</v>
      </c>
      <c r="E730" t="s">
        <v>3457</v>
      </c>
      <c r="F730" t="s">
        <v>2303</v>
      </c>
      <c r="G730" t="s">
        <v>28</v>
      </c>
      <c r="H730" t="s">
        <v>28</v>
      </c>
      <c r="I730" t="s">
        <v>892</v>
      </c>
    </row>
    <row r="731" spans="1:9" ht="11.25" customHeight="1">
      <c r="A731" t="s">
        <v>2246</v>
      </c>
      <c r="B731" t="s">
        <v>16</v>
      </c>
      <c r="C731" t="s">
        <v>3467</v>
      </c>
      <c r="D731" t="s">
        <v>3468</v>
      </c>
      <c r="E731" t="s">
        <v>2258</v>
      </c>
      <c r="F731" t="s">
        <v>2462</v>
      </c>
      <c r="G731" t="s">
        <v>28</v>
      </c>
      <c r="H731" t="s">
        <v>28</v>
      </c>
      <c r="I731" t="s">
        <v>892</v>
      </c>
    </row>
    <row r="732" spans="1:9" ht="11.25" customHeight="1">
      <c r="A732" t="s">
        <v>2246</v>
      </c>
      <c r="B732" t="s">
        <v>16</v>
      </c>
      <c r="C732" t="s">
        <v>3469</v>
      </c>
      <c r="D732" t="s">
        <v>3470</v>
      </c>
      <c r="E732" t="s">
        <v>2309</v>
      </c>
      <c r="F732" t="s">
        <v>3471</v>
      </c>
      <c r="G732" t="s">
        <v>2314</v>
      </c>
      <c r="H732" t="s">
        <v>28</v>
      </c>
      <c r="I732" t="s">
        <v>892</v>
      </c>
    </row>
    <row r="733" spans="1:9" ht="11.25" customHeight="1">
      <c r="A733" t="s">
        <v>2246</v>
      </c>
      <c r="B733" t="s">
        <v>16</v>
      </c>
      <c r="C733" t="s">
        <v>3504</v>
      </c>
      <c r="D733" t="s">
        <v>3505</v>
      </c>
      <c r="E733" t="s">
        <v>3506</v>
      </c>
      <c r="F733" t="s">
        <v>2325</v>
      </c>
      <c r="G733" t="s">
        <v>28</v>
      </c>
      <c r="H733" t="s">
        <v>28</v>
      </c>
      <c r="I733" t="s">
        <v>892</v>
      </c>
    </row>
    <row r="734" spans="1:9" ht="11.25" customHeight="1">
      <c r="A734" t="s">
        <v>2246</v>
      </c>
      <c r="B734" t="s">
        <v>16</v>
      </c>
      <c r="C734" t="s">
        <v>3522</v>
      </c>
      <c r="D734" t="s">
        <v>3523</v>
      </c>
      <c r="E734" t="s">
        <v>3524</v>
      </c>
      <c r="F734" t="s">
        <v>2384</v>
      </c>
      <c r="G734" t="s">
        <v>28</v>
      </c>
      <c r="H734" t="s">
        <v>28</v>
      </c>
      <c r="I734" t="s">
        <v>892</v>
      </c>
    </row>
    <row r="735" spans="1:9" ht="11.25" customHeight="1">
      <c r="A735" t="s">
        <v>2246</v>
      </c>
      <c r="B735" t="s">
        <v>16</v>
      </c>
      <c r="C735" t="s">
        <v>3525</v>
      </c>
      <c r="D735" t="s">
        <v>3526</v>
      </c>
      <c r="E735" t="s">
        <v>3527</v>
      </c>
      <c r="F735" t="s">
        <v>2325</v>
      </c>
      <c r="G735" t="s">
        <v>28</v>
      </c>
      <c r="H735" t="s">
        <v>28</v>
      </c>
      <c r="I735" t="s">
        <v>892</v>
      </c>
    </row>
    <row r="736" spans="1:9" ht="11.25" customHeight="1">
      <c r="A736" t="s">
        <v>2246</v>
      </c>
      <c r="B736" t="s">
        <v>16</v>
      </c>
      <c r="C736" t="s">
        <v>3528</v>
      </c>
      <c r="D736" t="s">
        <v>3529</v>
      </c>
      <c r="E736" t="s">
        <v>3530</v>
      </c>
      <c r="F736" t="s">
        <v>3531</v>
      </c>
      <c r="G736" t="s">
        <v>28</v>
      </c>
      <c r="H736" t="s">
        <v>28</v>
      </c>
      <c r="I736" t="s">
        <v>892</v>
      </c>
    </row>
    <row r="737" spans="1:9" ht="11.25" customHeight="1">
      <c r="A737" t="s">
        <v>2246</v>
      </c>
      <c r="B737" t="s">
        <v>16</v>
      </c>
      <c r="C737" t="s">
        <v>3543</v>
      </c>
      <c r="D737" t="s">
        <v>3544</v>
      </c>
      <c r="E737" t="s">
        <v>3530</v>
      </c>
      <c r="F737" t="s">
        <v>3545</v>
      </c>
      <c r="G737" t="s">
        <v>28</v>
      </c>
      <c r="H737" t="s">
        <v>28</v>
      </c>
      <c r="I737" t="s">
        <v>892</v>
      </c>
    </row>
    <row r="738" spans="1:9" ht="11.25" customHeight="1">
      <c r="A738" t="s">
        <v>2246</v>
      </c>
      <c r="B738" t="s">
        <v>16</v>
      </c>
      <c r="C738" t="s">
        <v>3565</v>
      </c>
      <c r="D738" t="s">
        <v>3566</v>
      </c>
      <c r="E738" t="s">
        <v>3563</v>
      </c>
      <c r="F738" t="s">
        <v>3567</v>
      </c>
      <c r="G738" t="s">
        <v>3564</v>
      </c>
      <c r="H738" t="s">
        <v>28</v>
      </c>
      <c r="I738" t="s">
        <v>892</v>
      </c>
    </row>
    <row r="739" spans="1:9" ht="11.25" customHeight="1">
      <c r="A739" t="s">
        <v>2246</v>
      </c>
      <c r="B739" t="s">
        <v>16</v>
      </c>
      <c r="C739" t="s">
        <v>3574</v>
      </c>
      <c r="D739" t="s">
        <v>3575</v>
      </c>
      <c r="E739" t="s">
        <v>3576</v>
      </c>
      <c r="F739" t="s">
        <v>3577</v>
      </c>
      <c r="G739" t="s">
        <v>28</v>
      </c>
      <c r="H739" t="s">
        <v>28</v>
      </c>
      <c r="I739" t="s">
        <v>892</v>
      </c>
    </row>
    <row r="740" spans="1:9" ht="11.25" customHeight="1">
      <c r="A740" t="s">
        <v>2246</v>
      </c>
      <c r="B740" t="s">
        <v>16</v>
      </c>
      <c r="C740" t="s">
        <v>3596</v>
      </c>
      <c r="D740" t="s">
        <v>3597</v>
      </c>
      <c r="E740" t="s">
        <v>3598</v>
      </c>
      <c r="F740" t="s">
        <v>2360</v>
      </c>
      <c r="G740" t="s">
        <v>28</v>
      </c>
      <c r="H740" t="s">
        <v>28</v>
      </c>
      <c r="I740" t="s">
        <v>892</v>
      </c>
    </row>
    <row r="741" spans="1:9" ht="11.25" customHeight="1">
      <c r="A741" t="s">
        <v>2246</v>
      </c>
      <c r="B741" t="s">
        <v>16</v>
      </c>
      <c r="C741" t="s">
        <v>3614</v>
      </c>
      <c r="D741" t="s">
        <v>3615</v>
      </c>
      <c r="E741" t="s">
        <v>3616</v>
      </c>
      <c r="F741" t="s">
        <v>2250</v>
      </c>
      <c r="G741" t="s">
        <v>28</v>
      </c>
      <c r="H741" t="s">
        <v>28</v>
      </c>
      <c r="I741" t="s">
        <v>892</v>
      </c>
    </row>
    <row r="742" spans="1:9" ht="11.25" customHeight="1">
      <c r="A742" t="s">
        <v>2246</v>
      </c>
      <c r="B742" t="s">
        <v>16</v>
      </c>
      <c r="C742" t="s">
        <v>3627</v>
      </c>
      <c r="D742" t="s">
        <v>3628</v>
      </c>
      <c r="E742" t="s">
        <v>3629</v>
      </c>
      <c r="F742" t="s">
        <v>2325</v>
      </c>
      <c r="G742" t="s">
        <v>28</v>
      </c>
      <c r="H742" t="s">
        <v>28</v>
      </c>
      <c r="I742" t="s">
        <v>892</v>
      </c>
    </row>
    <row r="743" spans="1:9" ht="11.25" customHeight="1">
      <c r="A743" t="s">
        <v>2246</v>
      </c>
      <c r="B743" t="s">
        <v>16</v>
      </c>
      <c r="C743" t="s">
        <v>3653</v>
      </c>
      <c r="D743" t="s">
        <v>3654</v>
      </c>
      <c r="E743" t="s">
        <v>3655</v>
      </c>
      <c r="F743" t="s">
        <v>2384</v>
      </c>
      <c r="G743" t="s">
        <v>3656</v>
      </c>
      <c r="H743" t="s">
        <v>28</v>
      </c>
      <c r="I743" t="s">
        <v>892</v>
      </c>
    </row>
    <row r="744" spans="1:9" ht="11.25" customHeight="1">
      <c r="A744" t="s">
        <v>2246</v>
      </c>
      <c r="B744" t="s">
        <v>16</v>
      </c>
      <c r="C744" t="s">
        <v>3665</v>
      </c>
      <c r="D744" t="s">
        <v>3666</v>
      </c>
      <c r="E744" t="s">
        <v>3667</v>
      </c>
      <c r="F744" t="s">
        <v>2343</v>
      </c>
      <c r="G744" t="s">
        <v>28</v>
      </c>
      <c r="H744" t="s">
        <v>28</v>
      </c>
      <c r="I744" t="s">
        <v>892</v>
      </c>
    </row>
    <row r="745" spans="1:9" ht="11.25" customHeight="1">
      <c r="A745" t="s">
        <v>2246</v>
      </c>
      <c r="B745" t="s">
        <v>16</v>
      </c>
      <c r="C745" t="s">
        <v>3699</v>
      </c>
      <c r="D745" t="s">
        <v>3700</v>
      </c>
      <c r="E745" t="s">
        <v>3701</v>
      </c>
      <c r="F745" t="s">
        <v>2332</v>
      </c>
      <c r="G745" t="s">
        <v>28</v>
      </c>
      <c r="H745" t="s">
        <v>28</v>
      </c>
      <c r="I745" t="s">
        <v>892</v>
      </c>
    </row>
    <row r="746" spans="1:9" ht="11.25" customHeight="1">
      <c r="A746" t="s">
        <v>2246</v>
      </c>
      <c r="B746" t="s">
        <v>16</v>
      </c>
      <c r="C746" t="s">
        <v>3702</v>
      </c>
      <c r="D746" t="s">
        <v>3703</v>
      </c>
      <c r="E746" t="s">
        <v>3704</v>
      </c>
      <c r="F746" t="s">
        <v>2295</v>
      </c>
      <c r="G746" t="s">
        <v>28</v>
      </c>
      <c r="H746" t="s">
        <v>28</v>
      </c>
      <c r="I746" t="s">
        <v>892</v>
      </c>
    </row>
    <row r="747" spans="1:9" ht="11.25" customHeight="1">
      <c r="A747" t="s">
        <v>2246</v>
      </c>
      <c r="B747" t="s">
        <v>16</v>
      </c>
      <c r="C747" t="s">
        <v>3705</v>
      </c>
      <c r="D747" t="s">
        <v>3706</v>
      </c>
      <c r="E747" t="s">
        <v>3707</v>
      </c>
      <c r="F747" t="s">
        <v>2295</v>
      </c>
      <c r="G747" t="s">
        <v>3708</v>
      </c>
      <c r="H747" t="s">
        <v>28</v>
      </c>
      <c r="I747" t="s">
        <v>892</v>
      </c>
    </row>
    <row r="748" spans="1:9" ht="11.25" customHeight="1">
      <c r="A748" t="s">
        <v>2246</v>
      </c>
      <c r="B748" t="s">
        <v>16</v>
      </c>
      <c r="C748" t="s">
        <v>3732</v>
      </c>
      <c r="D748" t="s">
        <v>3733</v>
      </c>
      <c r="E748" t="s">
        <v>3734</v>
      </c>
      <c r="F748" t="s">
        <v>2384</v>
      </c>
      <c r="G748" t="s">
        <v>28</v>
      </c>
      <c r="H748" t="s">
        <v>28</v>
      </c>
      <c r="I748" t="s">
        <v>892</v>
      </c>
    </row>
    <row r="749" spans="1:9" ht="11.25" customHeight="1">
      <c r="A749" t="s">
        <v>2246</v>
      </c>
      <c r="B749" t="s">
        <v>16</v>
      </c>
      <c r="C749" t="s">
        <v>3735</v>
      </c>
      <c r="D749" t="s">
        <v>3736</v>
      </c>
      <c r="E749" t="s">
        <v>3737</v>
      </c>
      <c r="F749" t="s">
        <v>3188</v>
      </c>
      <c r="G749" t="s">
        <v>3738</v>
      </c>
      <c r="H749" t="s">
        <v>28</v>
      </c>
      <c r="I749" t="s">
        <v>892</v>
      </c>
    </row>
    <row r="750" spans="1:9" ht="11.25" customHeight="1">
      <c r="A750" t="s">
        <v>2246</v>
      </c>
      <c r="B750" t="s">
        <v>16</v>
      </c>
      <c r="C750" t="s">
        <v>3754</v>
      </c>
      <c r="D750" t="s">
        <v>3755</v>
      </c>
      <c r="E750" t="s">
        <v>3756</v>
      </c>
      <c r="F750" t="s">
        <v>2325</v>
      </c>
      <c r="G750" t="s">
        <v>3757</v>
      </c>
      <c r="H750" t="s">
        <v>28</v>
      </c>
      <c r="I750" t="s">
        <v>892</v>
      </c>
    </row>
    <row r="751" spans="1:9" ht="11.25" customHeight="1">
      <c r="A751" t="s">
        <v>2246</v>
      </c>
      <c r="B751" t="s">
        <v>16</v>
      </c>
      <c r="C751" t="s">
        <v>3758</v>
      </c>
      <c r="D751" t="s">
        <v>3759</v>
      </c>
      <c r="E751" t="s">
        <v>3760</v>
      </c>
      <c r="F751" t="s">
        <v>3761</v>
      </c>
      <c r="G751" t="s">
        <v>28</v>
      </c>
      <c r="H751" t="s">
        <v>28</v>
      </c>
      <c r="I751" t="s">
        <v>892</v>
      </c>
    </row>
    <row r="752" spans="1:9" ht="11.25" customHeight="1">
      <c r="A752" t="s">
        <v>2246</v>
      </c>
      <c r="B752" t="s">
        <v>16</v>
      </c>
      <c r="C752" t="s">
        <v>3771</v>
      </c>
      <c r="D752" t="s">
        <v>3772</v>
      </c>
      <c r="E752" t="s">
        <v>3773</v>
      </c>
      <c r="F752" t="s">
        <v>2295</v>
      </c>
      <c r="G752" t="s">
        <v>3774</v>
      </c>
      <c r="H752" t="s">
        <v>28</v>
      </c>
      <c r="I752" t="s">
        <v>892</v>
      </c>
    </row>
    <row r="753" spans="1:9" ht="11.25" customHeight="1">
      <c r="A753" t="s">
        <v>2246</v>
      </c>
      <c r="B753" t="s">
        <v>16</v>
      </c>
      <c r="C753" t="s">
        <v>3775</v>
      </c>
      <c r="D753" t="s">
        <v>3776</v>
      </c>
      <c r="E753" t="s">
        <v>3777</v>
      </c>
      <c r="F753" t="s">
        <v>2582</v>
      </c>
      <c r="G753" t="s">
        <v>3778</v>
      </c>
      <c r="H753" t="s">
        <v>28</v>
      </c>
      <c r="I753" t="s">
        <v>892</v>
      </c>
    </row>
    <row r="754" spans="1:9" ht="11.25" customHeight="1">
      <c r="A754" t="s">
        <v>2246</v>
      </c>
      <c r="B754" t="s">
        <v>16</v>
      </c>
      <c r="C754" t="s">
        <v>3779</v>
      </c>
      <c r="D754" t="s">
        <v>3780</v>
      </c>
      <c r="E754" t="s">
        <v>3781</v>
      </c>
      <c r="F754" t="s">
        <v>2574</v>
      </c>
      <c r="G754" t="s">
        <v>28</v>
      </c>
      <c r="H754" t="s">
        <v>28</v>
      </c>
      <c r="I754" t="s">
        <v>892</v>
      </c>
    </row>
    <row r="755" spans="1:9" ht="11.25" customHeight="1">
      <c r="A755" t="s">
        <v>2246</v>
      </c>
      <c r="B755" t="s">
        <v>16</v>
      </c>
      <c r="C755" t="s">
        <v>3786</v>
      </c>
      <c r="D755" t="s">
        <v>3787</v>
      </c>
      <c r="E755" t="s">
        <v>3788</v>
      </c>
      <c r="F755" t="s">
        <v>2325</v>
      </c>
      <c r="G755" t="s">
        <v>3789</v>
      </c>
      <c r="H755" t="s">
        <v>28</v>
      </c>
      <c r="I755" t="s">
        <v>892</v>
      </c>
    </row>
    <row r="756" spans="1:9" ht="11.25" customHeight="1">
      <c r="A756" t="s">
        <v>2246</v>
      </c>
      <c r="B756" t="s">
        <v>16</v>
      </c>
      <c r="C756" t="s">
        <v>3798</v>
      </c>
      <c r="D756" t="s">
        <v>3799</v>
      </c>
      <c r="E756" t="s">
        <v>3800</v>
      </c>
      <c r="F756" t="s">
        <v>2687</v>
      </c>
      <c r="G756" t="s">
        <v>28</v>
      </c>
      <c r="H756" t="s">
        <v>28</v>
      </c>
      <c r="I756" t="s">
        <v>892</v>
      </c>
    </row>
    <row r="757" spans="1:9" ht="11.25" customHeight="1">
      <c r="A757" t="s">
        <v>2246</v>
      </c>
      <c r="B757" t="s">
        <v>16</v>
      </c>
      <c r="C757" t="s">
        <v>3807</v>
      </c>
      <c r="D757" t="s">
        <v>3808</v>
      </c>
      <c r="E757" t="s">
        <v>3809</v>
      </c>
      <c r="F757" t="s">
        <v>2325</v>
      </c>
      <c r="G757" t="s">
        <v>3810</v>
      </c>
      <c r="H757" t="s">
        <v>28</v>
      </c>
      <c r="I757" t="s">
        <v>892</v>
      </c>
    </row>
    <row r="758" spans="1:9" ht="11.25" customHeight="1">
      <c r="A758" t="s">
        <v>2246</v>
      </c>
      <c r="B758" t="s">
        <v>16</v>
      </c>
      <c r="C758" t="s">
        <v>3818</v>
      </c>
      <c r="D758" t="s">
        <v>3819</v>
      </c>
      <c r="E758" t="s">
        <v>3820</v>
      </c>
      <c r="F758" t="s">
        <v>2332</v>
      </c>
      <c r="G758" t="s">
        <v>28</v>
      </c>
      <c r="H758" t="s">
        <v>28</v>
      </c>
      <c r="I758" t="s">
        <v>892</v>
      </c>
    </row>
    <row r="759" spans="1:9" ht="11.25" customHeight="1">
      <c r="A759" t="s">
        <v>2246</v>
      </c>
      <c r="B759" t="s">
        <v>16</v>
      </c>
      <c r="C759" t="s">
        <v>3842</v>
      </c>
      <c r="D759" t="s">
        <v>3843</v>
      </c>
      <c r="E759" t="s">
        <v>3844</v>
      </c>
      <c r="F759" t="s">
        <v>2574</v>
      </c>
      <c r="G759" t="s">
        <v>3845</v>
      </c>
      <c r="H759" t="s">
        <v>28</v>
      </c>
      <c r="I759" t="s">
        <v>892</v>
      </c>
    </row>
    <row r="760" spans="1:9" ht="11.25" customHeight="1">
      <c r="A760" t="s">
        <v>2246</v>
      </c>
      <c r="B760" t="s">
        <v>16</v>
      </c>
      <c r="C760" t="s">
        <v>3849</v>
      </c>
      <c r="D760" t="s">
        <v>3850</v>
      </c>
      <c r="E760" t="s">
        <v>3851</v>
      </c>
      <c r="F760" t="s">
        <v>2250</v>
      </c>
      <c r="G760" t="s">
        <v>28</v>
      </c>
      <c r="H760" t="s">
        <v>28</v>
      </c>
      <c r="I760" t="s">
        <v>892</v>
      </c>
    </row>
    <row r="761" spans="1:9" ht="11.25" customHeight="1">
      <c r="A761" t="s">
        <v>2246</v>
      </c>
      <c r="B761" t="s">
        <v>16</v>
      </c>
      <c r="C761" t="s">
        <v>3874</v>
      </c>
      <c r="D761" t="s">
        <v>3875</v>
      </c>
      <c r="E761" t="s">
        <v>3876</v>
      </c>
      <c r="F761" t="s">
        <v>3188</v>
      </c>
      <c r="G761" t="s">
        <v>28</v>
      </c>
      <c r="H761" t="s">
        <v>28</v>
      </c>
      <c r="I761" t="s">
        <v>892</v>
      </c>
    </row>
    <row r="762" spans="1:9" ht="11.25" customHeight="1">
      <c r="A762" t="s">
        <v>2246</v>
      </c>
      <c r="B762" t="s">
        <v>16</v>
      </c>
      <c r="C762" t="s">
        <v>3880</v>
      </c>
      <c r="D762" t="s">
        <v>3881</v>
      </c>
      <c r="E762" t="s">
        <v>3882</v>
      </c>
      <c r="F762" t="s">
        <v>2250</v>
      </c>
      <c r="G762" t="s">
        <v>3883</v>
      </c>
      <c r="H762" t="s">
        <v>28</v>
      </c>
      <c r="I762" t="s">
        <v>892</v>
      </c>
    </row>
    <row r="763" spans="1:9" ht="11.25" customHeight="1">
      <c r="A763" t="s">
        <v>2246</v>
      </c>
      <c r="B763" t="s">
        <v>16</v>
      </c>
      <c r="C763" t="s">
        <v>3888</v>
      </c>
      <c r="D763" t="s">
        <v>3889</v>
      </c>
      <c r="E763" t="s">
        <v>3890</v>
      </c>
      <c r="F763" t="s">
        <v>2332</v>
      </c>
      <c r="G763" t="s">
        <v>3891</v>
      </c>
      <c r="H763" t="s">
        <v>28</v>
      </c>
      <c r="I763" t="s">
        <v>892</v>
      </c>
    </row>
    <row r="764" spans="1:9" ht="11.25" customHeight="1">
      <c r="A764" t="s">
        <v>2246</v>
      </c>
      <c r="B764" t="s">
        <v>16</v>
      </c>
      <c r="C764" t="s">
        <v>3892</v>
      </c>
      <c r="D764" t="s">
        <v>3893</v>
      </c>
      <c r="E764" t="s">
        <v>3894</v>
      </c>
      <c r="F764" t="s">
        <v>50</v>
      </c>
      <c r="G764" t="s">
        <v>28</v>
      </c>
      <c r="H764" t="s">
        <v>28</v>
      </c>
      <c r="I764" t="s">
        <v>892</v>
      </c>
    </row>
    <row r="765" spans="1:9" ht="11.25" customHeight="1">
      <c r="A765" t="s">
        <v>2246</v>
      </c>
      <c r="B765" t="s">
        <v>16</v>
      </c>
      <c r="C765" t="s">
        <v>3895</v>
      </c>
      <c r="D765" t="s">
        <v>3896</v>
      </c>
      <c r="E765" t="s">
        <v>3897</v>
      </c>
      <c r="F765" t="s">
        <v>2325</v>
      </c>
      <c r="G765" t="s">
        <v>28</v>
      </c>
      <c r="H765" t="s">
        <v>28</v>
      </c>
      <c r="I765" t="s">
        <v>892</v>
      </c>
    </row>
    <row r="766" spans="1:9" ht="11.25" customHeight="1">
      <c r="A766" t="s">
        <v>2246</v>
      </c>
      <c r="B766" t="s">
        <v>16</v>
      </c>
      <c r="C766" t="s">
        <v>3913</v>
      </c>
      <c r="D766" t="s">
        <v>3914</v>
      </c>
      <c r="E766" t="s">
        <v>3915</v>
      </c>
      <c r="F766" t="s">
        <v>50</v>
      </c>
      <c r="G766" t="s">
        <v>28</v>
      </c>
      <c r="H766" t="s">
        <v>28</v>
      </c>
      <c r="I766" t="s">
        <v>892</v>
      </c>
    </row>
    <row r="767" spans="1:9" ht="11.25" customHeight="1">
      <c r="A767" t="s">
        <v>2246</v>
      </c>
      <c r="B767" t="s">
        <v>16</v>
      </c>
      <c r="C767" t="s">
        <v>3925</v>
      </c>
      <c r="D767" t="s">
        <v>3926</v>
      </c>
      <c r="E767" t="s">
        <v>3927</v>
      </c>
      <c r="F767" t="s">
        <v>2347</v>
      </c>
      <c r="G767" t="s">
        <v>3928</v>
      </c>
      <c r="H767" t="s">
        <v>28</v>
      </c>
      <c r="I767" t="s">
        <v>892</v>
      </c>
    </row>
    <row r="768" spans="1:9" ht="11.25" customHeight="1">
      <c r="A768" t="s">
        <v>2246</v>
      </c>
      <c r="B768" t="s">
        <v>16</v>
      </c>
      <c r="C768" t="s">
        <v>3932</v>
      </c>
      <c r="D768" t="s">
        <v>3933</v>
      </c>
      <c r="E768" t="s">
        <v>3934</v>
      </c>
      <c r="F768" t="s">
        <v>3935</v>
      </c>
      <c r="G768" t="s">
        <v>3936</v>
      </c>
      <c r="H768" t="s">
        <v>28</v>
      </c>
      <c r="I768" t="s">
        <v>892</v>
      </c>
    </row>
    <row r="769" spans="1:9" ht="11.25" customHeight="1">
      <c r="A769" t="s">
        <v>2246</v>
      </c>
      <c r="B769" t="s">
        <v>16</v>
      </c>
      <c r="C769" t="s">
        <v>3937</v>
      </c>
      <c r="D769" t="s">
        <v>3938</v>
      </c>
      <c r="E769" t="s">
        <v>3939</v>
      </c>
      <c r="F769" t="s">
        <v>3940</v>
      </c>
      <c r="G769" t="s">
        <v>28</v>
      </c>
      <c r="H769" t="s">
        <v>28</v>
      </c>
      <c r="I769" t="s">
        <v>892</v>
      </c>
    </row>
    <row r="770" spans="1:9" ht="11.25" customHeight="1">
      <c r="A770" t="s">
        <v>2246</v>
      </c>
      <c r="B770" t="s">
        <v>16</v>
      </c>
      <c r="C770" t="s">
        <v>3957</v>
      </c>
      <c r="D770" t="s">
        <v>3958</v>
      </c>
      <c r="E770" t="s">
        <v>3959</v>
      </c>
      <c r="F770" t="s">
        <v>2400</v>
      </c>
      <c r="G770" t="s">
        <v>3960</v>
      </c>
      <c r="H770" t="s">
        <v>28</v>
      </c>
      <c r="I770" t="s">
        <v>892</v>
      </c>
    </row>
    <row r="771" spans="1:9" ht="11.25" customHeight="1">
      <c r="A771" t="s">
        <v>2246</v>
      </c>
      <c r="B771" t="s">
        <v>16</v>
      </c>
      <c r="C771" t="s">
        <v>3964</v>
      </c>
      <c r="D771" t="s">
        <v>3965</v>
      </c>
      <c r="E771" t="s">
        <v>3966</v>
      </c>
      <c r="F771" t="s">
        <v>2343</v>
      </c>
      <c r="G771" t="s">
        <v>3967</v>
      </c>
      <c r="H771" t="s">
        <v>28</v>
      </c>
      <c r="I771" t="s">
        <v>892</v>
      </c>
    </row>
    <row r="772" spans="1:9" ht="11.25" customHeight="1">
      <c r="A772" t="s">
        <v>2246</v>
      </c>
      <c r="B772" t="s">
        <v>16</v>
      </c>
      <c r="C772" t="s">
        <v>3974</v>
      </c>
      <c r="D772" t="s">
        <v>3975</v>
      </c>
      <c r="E772" t="s">
        <v>3976</v>
      </c>
      <c r="F772" t="s">
        <v>2758</v>
      </c>
      <c r="G772" t="s">
        <v>28</v>
      </c>
      <c r="H772" t="s">
        <v>28</v>
      </c>
      <c r="I772" t="s">
        <v>892</v>
      </c>
    </row>
    <row r="773" spans="1:9" ht="11.25" customHeight="1">
      <c r="A773" t="s">
        <v>2246</v>
      </c>
      <c r="B773" t="s">
        <v>16</v>
      </c>
      <c r="C773" t="s">
        <v>3981</v>
      </c>
      <c r="D773" t="s">
        <v>3982</v>
      </c>
      <c r="E773" t="s">
        <v>3983</v>
      </c>
      <c r="F773" t="s">
        <v>2582</v>
      </c>
      <c r="G773" t="s">
        <v>3984</v>
      </c>
      <c r="H773" t="s">
        <v>28</v>
      </c>
      <c r="I773" t="s">
        <v>892</v>
      </c>
    </row>
    <row r="774" spans="1:9" ht="11.25" customHeight="1">
      <c r="A774" t="s">
        <v>2246</v>
      </c>
      <c r="B774" t="s">
        <v>16</v>
      </c>
      <c r="C774" t="s">
        <v>3985</v>
      </c>
      <c r="D774" t="s">
        <v>3986</v>
      </c>
      <c r="E774" t="s">
        <v>3987</v>
      </c>
      <c r="F774" t="s">
        <v>2313</v>
      </c>
      <c r="G774" t="s">
        <v>28</v>
      </c>
      <c r="H774" t="s">
        <v>28</v>
      </c>
      <c r="I774" t="s">
        <v>892</v>
      </c>
    </row>
    <row r="775" spans="1:9" ht="11.25" customHeight="1">
      <c r="A775" t="s">
        <v>2246</v>
      </c>
      <c r="B775" t="s">
        <v>16</v>
      </c>
      <c r="C775" t="s">
        <v>4051</v>
      </c>
      <c r="D775" t="s">
        <v>4052</v>
      </c>
      <c r="E775" t="s">
        <v>4053</v>
      </c>
      <c r="F775" t="s">
        <v>2370</v>
      </c>
      <c r="G775" t="s">
        <v>28</v>
      </c>
      <c r="H775" t="s">
        <v>28</v>
      </c>
      <c r="I775" t="s">
        <v>892</v>
      </c>
    </row>
    <row r="776" spans="1:9" ht="11.25" customHeight="1">
      <c r="A776" t="s">
        <v>2246</v>
      </c>
      <c r="B776" t="s">
        <v>16</v>
      </c>
      <c r="C776" t="s">
        <v>4061</v>
      </c>
      <c r="D776" t="s">
        <v>4062</v>
      </c>
      <c r="E776" t="s">
        <v>4063</v>
      </c>
      <c r="F776" t="s">
        <v>2268</v>
      </c>
      <c r="G776" t="s">
        <v>28</v>
      </c>
      <c r="H776" t="s">
        <v>28</v>
      </c>
      <c r="I776" t="s">
        <v>892</v>
      </c>
    </row>
    <row r="777" spans="1:9" ht="11.25" customHeight="1">
      <c r="A777" t="s">
        <v>2246</v>
      </c>
      <c r="B777" t="s">
        <v>16</v>
      </c>
      <c r="C777" t="s">
        <v>4064</v>
      </c>
      <c r="D777" t="s">
        <v>4065</v>
      </c>
      <c r="E777" t="s">
        <v>4066</v>
      </c>
      <c r="F777" t="s">
        <v>2370</v>
      </c>
      <c r="G777" t="s">
        <v>28</v>
      </c>
      <c r="H777" t="s">
        <v>28</v>
      </c>
      <c r="I777" t="s">
        <v>892</v>
      </c>
    </row>
    <row r="778" spans="1:9" ht="11.25" customHeight="1">
      <c r="A778" t="s">
        <v>2246</v>
      </c>
      <c r="B778" t="s">
        <v>16</v>
      </c>
      <c r="C778" t="s">
        <v>4071</v>
      </c>
      <c r="D778" t="s">
        <v>4072</v>
      </c>
      <c r="E778" t="s">
        <v>4073</v>
      </c>
      <c r="F778" t="s">
        <v>2343</v>
      </c>
      <c r="G778" t="s">
        <v>4074</v>
      </c>
      <c r="H778" t="s">
        <v>28</v>
      </c>
      <c r="I778" t="s">
        <v>892</v>
      </c>
    </row>
    <row r="779" spans="1:9" ht="11.25" customHeight="1">
      <c r="A779" t="s">
        <v>2246</v>
      </c>
      <c r="B779" t="s">
        <v>16</v>
      </c>
      <c r="C779" t="s">
        <v>4079</v>
      </c>
      <c r="D779" t="s">
        <v>4080</v>
      </c>
      <c r="E779" t="s">
        <v>4081</v>
      </c>
      <c r="F779" t="s">
        <v>4082</v>
      </c>
      <c r="G779" t="s">
        <v>4083</v>
      </c>
      <c r="H779" t="s">
        <v>28</v>
      </c>
      <c r="I779" t="s">
        <v>892</v>
      </c>
    </row>
    <row r="780" spans="1:9" ht="11.25" customHeight="1">
      <c r="A780" t="s">
        <v>2246</v>
      </c>
      <c r="B780" t="s">
        <v>16</v>
      </c>
      <c r="C780" t="s">
        <v>4088</v>
      </c>
      <c r="D780" t="s">
        <v>4089</v>
      </c>
      <c r="E780" t="s">
        <v>4090</v>
      </c>
      <c r="F780" t="s">
        <v>2332</v>
      </c>
      <c r="G780" t="s">
        <v>28</v>
      </c>
      <c r="H780" t="s">
        <v>28</v>
      </c>
      <c r="I780" t="s">
        <v>892</v>
      </c>
    </row>
    <row r="781" spans="1:9" ht="11.25" customHeight="1">
      <c r="A781" t="s">
        <v>2246</v>
      </c>
      <c r="B781" t="s">
        <v>16</v>
      </c>
      <c r="C781" t="s">
        <v>4097</v>
      </c>
      <c r="D781" t="s">
        <v>4098</v>
      </c>
      <c r="E781" t="s">
        <v>4099</v>
      </c>
      <c r="F781" t="s">
        <v>2536</v>
      </c>
      <c r="G781" t="s">
        <v>28</v>
      </c>
      <c r="H781" t="s">
        <v>28</v>
      </c>
      <c r="I781" t="s">
        <v>892</v>
      </c>
    </row>
    <row r="782" spans="1:9" ht="11.25" customHeight="1">
      <c r="A782" t="s">
        <v>2246</v>
      </c>
      <c r="B782" t="s">
        <v>16</v>
      </c>
      <c r="C782" t="s">
        <v>28</v>
      </c>
      <c r="D782" t="s">
        <v>4100</v>
      </c>
      <c r="E782" t="s">
        <v>4101</v>
      </c>
      <c r="F782" t="s">
        <v>2384</v>
      </c>
      <c r="G782" t="s">
        <v>28</v>
      </c>
      <c r="H782" t="s">
        <v>28</v>
      </c>
      <c r="I782" t="s">
        <v>892</v>
      </c>
    </row>
    <row r="783" spans="1:9" ht="11.25" customHeight="1">
      <c r="A783" t="s">
        <v>2246</v>
      </c>
      <c r="B783" t="s">
        <v>16</v>
      </c>
      <c r="C783" t="s">
        <v>4109</v>
      </c>
      <c r="D783" t="s">
        <v>4110</v>
      </c>
      <c r="E783" t="s">
        <v>4111</v>
      </c>
      <c r="F783" t="s">
        <v>3761</v>
      </c>
      <c r="G783" t="s">
        <v>28</v>
      </c>
      <c r="H783" t="s">
        <v>28</v>
      </c>
      <c r="I783" t="s">
        <v>892</v>
      </c>
    </row>
    <row r="784" spans="1:9" ht="11.25" customHeight="1">
      <c r="A784" t="s">
        <v>2246</v>
      </c>
      <c r="B784" t="s">
        <v>16</v>
      </c>
      <c r="C784" t="s">
        <v>4115</v>
      </c>
      <c r="D784" t="s">
        <v>4116</v>
      </c>
      <c r="E784" t="s">
        <v>4117</v>
      </c>
      <c r="F784" t="s">
        <v>3609</v>
      </c>
      <c r="G784" t="s">
        <v>28</v>
      </c>
      <c r="H784" t="s">
        <v>28</v>
      </c>
      <c r="I784" t="s">
        <v>892</v>
      </c>
    </row>
    <row r="785" spans="1:9" ht="11.25" customHeight="1">
      <c r="A785" t="s">
        <v>2246</v>
      </c>
      <c r="B785" t="s">
        <v>16</v>
      </c>
      <c r="C785" t="s">
        <v>4124</v>
      </c>
      <c r="D785" t="s">
        <v>4125</v>
      </c>
      <c r="E785" t="s">
        <v>4126</v>
      </c>
      <c r="F785" t="s">
        <v>2250</v>
      </c>
      <c r="G785" t="s">
        <v>4127</v>
      </c>
      <c r="H785" t="s">
        <v>28</v>
      </c>
      <c r="I785" t="s">
        <v>892</v>
      </c>
    </row>
    <row r="786" spans="1:9" ht="11.25" customHeight="1">
      <c r="A786" t="s">
        <v>2246</v>
      </c>
      <c r="B786" t="s">
        <v>16</v>
      </c>
      <c r="C786" t="s">
        <v>4132</v>
      </c>
      <c r="D786" t="s">
        <v>4133</v>
      </c>
      <c r="E786" t="s">
        <v>4134</v>
      </c>
      <c r="F786" t="s">
        <v>4135</v>
      </c>
      <c r="G786" t="s">
        <v>4136</v>
      </c>
      <c r="H786" t="s">
        <v>28</v>
      </c>
      <c r="I786" t="s">
        <v>892</v>
      </c>
    </row>
    <row r="787" spans="1:9" ht="11.25" customHeight="1">
      <c r="A787" t="s">
        <v>2246</v>
      </c>
      <c r="B787" t="s">
        <v>16</v>
      </c>
      <c r="C787" t="s">
        <v>4137</v>
      </c>
      <c r="D787" t="s">
        <v>4138</v>
      </c>
      <c r="E787" t="s">
        <v>4139</v>
      </c>
      <c r="F787" t="s">
        <v>2325</v>
      </c>
      <c r="G787" t="s">
        <v>28</v>
      </c>
      <c r="H787" t="s">
        <v>28</v>
      </c>
      <c r="I787" t="s">
        <v>892</v>
      </c>
    </row>
    <row r="788" spans="1:9" ht="11.25" customHeight="1">
      <c r="A788" t="s">
        <v>2246</v>
      </c>
      <c r="B788" t="s">
        <v>16</v>
      </c>
      <c r="C788" t="s">
        <v>4143</v>
      </c>
      <c r="D788" t="s">
        <v>4144</v>
      </c>
      <c r="E788" t="s">
        <v>4145</v>
      </c>
      <c r="F788" t="s">
        <v>2250</v>
      </c>
      <c r="G788" t="s">
        <v>4146</v>
      </c>
      <c r="H788" t="s">
        <v>28</v>
      </c>
      <c r="I788" t="s">
        <v>892</v>
      </c>
    </row>
    <row r="789" spans="1:9" ht="11.25" customHeight="1">
      <c r="A789" t="s">
        <v>2246</v>
      </c>
      <c r="B789" t="s">
        <v>16</v>
      </c>
      <c r="C789" t="s">
        <v>4147</v>
      </c>
      <c r="D789" t="s">
        <v>4148</v>
      </c>
      <c r="E789" t="s">
        <v>4149</v>
      </c>
      <c r="F789" t="s">
        <v>2384</v>
      </c>
      <c r="G789" t="s">
        <v>28</v>
      </c>
      <c r="H789" t="s">
        <v>28</v>
      </c>
      <c r="I789" t="s">
        <v>892</v>
      </c>
    </row>
    <row r="790" spans="1:9" ht="11.25" customHeight="1">
      <c r="A790" t="s">
        <v>2246</v>
      </c>
      <c r="B790" t="s">
        <v>16</v>
      </c>
      <c r="C790" t="s">
        <v>4160</v>
      </c>
      <c r="D790" t="s">
        <v>4161</v>
      </c>
      <c r="E790" t="s">
        <v>4162</v>
      </c>
      <c r="F790" t="s">
        <v>2343</v>
      </c>
      <c r="G790" t="s">
        <v>28</v>
      </c>
      <c r="H790" t="s">
        <v>28</v>
      </c>
      <c r="I790" t="s">
        <v>892</v>
      </c>
    </row>
    <row r="791" spans="1:9" ht="11.25" customHeight="1">
      <c r="A791" t="s">
        <v>2246</v>
      </c>
      <c r="B791" t="s">
        <v>16</v>
      </c>
      <c r="C791" t="s">
        <v>4163</v>
      </c>
      <c r="D791" t="s">
        <v>4164</v>
      </c>
      <c r="E791" t="s">
        <v>4165</v>
      </c>
      <c r="F791" t="s">
        <v>2360</v>
      </c>
      <c r="G791" t="s">
        <v>4166</v>
      </c>
      <c r="H791" t="s">
        <v>28</v>
      </c>
      <c r="I791" t="s">
        <v>892</v>
      </c>
    </row>
    <row r="792" spans="1:9" ht="11.25" customHeight="1">
      <c r="A792" t="s">
        <v>2246</v>
      </c>
      <c r="B792" t="s">
        <v>16</v>
      </c>
      <c r="C792" t="s">
        <v>4167</v>
      </c>
      <c r="D792" t="s">
        <v>4168</v>
      </c>
      <c r="E792" t="s">
        <v>4169</v>
      </c>
      <c r="F792" t="s">
        <v>2574</v>
      </c>
      <c r="G792" t="s">
        <v>28</v>
      </c>
      <c r="H792" t="s">
        <v>28</v>
      </c>
      <c r="I792" t="s">
        <v>892</v>
      </c>
    </row>
    <row r="793" spans="1:9" ht="11.25" customHeight="1">
      <c r="A793" t="s">
        <v>2246</v>
      </c>
      <c r="B793" t="s">
        <v>16</v>
      </c>
      <c r="C793" t="s">
        <v>4173</v>
      </c>
      <c r="D793" t="s">
        <v>4174</v>
      </c>
      <c r="E793" t="s">
        <v>4149</v>
      </c>
      <c r="F793" t="s">
        <v>2750</v>
      </c>
      <c r="G793" t="s">
        <v>4175</v>
      </c>
      <c r="H793" t="s">
        <v>28</v>
      </c>
      <c r="I793" t="s">
        <v>892</v>
      </c>
    </row>
    <row r="794" spans="1:9" ht="11.25" customHeight="1">
      <c r="A794" t="s">
        <v>2246</v>
      </c>
      <c r="B794" t="s">
        <v>16</v>
      </c>
      <c r="C794" t="s">
        <v>4179</v>
      </c>
      <c r="D794" t="s">
        <v>4180</v>
      </c>
      <c r="E794" t="s">
        <v>4081</v>
      </c>
      <c r="F794" t="s">
        <v>4181</v>
      </c>
      <c r="G794" t="s">
        <v>4182</v>
      </c>
      <c r="H794" t="s">
        <v>28</v>
      </c>
      <c r="I794" t="s">
        <v>892</v>
      </c>
    </row>
    <row r="795" spans="1:9" ht="11.25" customHeight="1">
      <c r="A795" t="s">
        <v>2246</v>
      </c>
      <c r="B795" t="s">
        <v>16</v>
      </c>
      <c r="C795" t="s">
        <v>4183</v>
      </c>
      <c r="D795" t="s">
        <v>4184</v>
      </c>
      <c r="E795" t="s">
        <v>2573</v>
      </c>
      <c r="F795" t="s">
        <v>4185</v>
      </c>
      <c r="G795" t="s">
        <v>28</v>
      </c>
      <c r="H795" t="s">
        <v>28</v>
      </c>
      <c r="I795" t="s">
        <v>892</v>
      </c>
    </row>
    <row r="796" spans="1:9" ht="11.25" customHeight="1">
      <c r="A796" t="s">
        <v>2246</v>
      </c>
      <c r="B796" t="s">
        <v>16</v>
      </c>
      <c r="C796" t="s">
        <v>4197</v>
      </c>
      <c r="D796" t="s">
        <v>4198</v>
      </c>
      <c r="E796" t="s">
        <v>4199</v>
      </c>
      <c r="F796" t="s">
        <v>4200</v>
      </c>
      <c r="G796" t="s">
        <v>28</v>
      </c>
      <c r="H796" t="s">
        <v>28</v>
      </c>
      <c r="I796" t="s">
        <v>892</v>
      </c>
    </row>
    <row r="797" spans="1:9" ht="11.25" customHeight="1">
      <c r="A797" t="s">
        <v>2246</v>
      </c>
      <c r="B797" t="s">
        <v>16</v>
      </c>
      <c r="C797" t="s">
        <v>2247</v>
      </c>
      <c r="D797" t="s">
        <v>2248</v>
      </c>
      <c r="E797" t="s">
        <v>2249</v>
      </c>
      <c r="F797" t="s">
        <v>2250</v>
      </c>
      <c r="G797" t="s">
        <v>2251</v>
      </c>
      <c r="H797" t="s">
        <v>28</v>
      </c>
      <c r="I797" t="s">
        <v>852</v>
      </c>
    </row>
    <row r="798" spans="1:9" ht="11.25" customHeight="1">
      <c r="A798" t="s">
        <v>2246</v>
      </c>
      <c r="B798" t="s">
        <v>16</v>
      </c>
      <c r="C798" t="s">
        <v>4210</v>
      </c>
      <c r="D798" t="s">
        <v>4211</v>
      </c>
      <c r="E798" t="s">
        <v>4212</v>
      </c>
      <c r="F798" t="s">
        <v>2303</v>
      </c>
      <c r="G798" t="s">
        <v>28</v>
      </c>
      <c r="H798" t="s">
        <v>28</v>
      </c>
      <c r="I798" t="s">
        <v>852</v>
      </c>
    </row>
    <row r="799" spans="1:9" ht="11.25" customHeight="1">
      <c r="A799" t="s">
        <v>2246</v>
      </c>
      <c r="B799" t="s">
        <v>16</v>
      </c>
      <c r="C799" t="s">
        <v>2256</v>
      </c>
      <c r="D799" t="s">
        <v>2257</v>
      </c>
      <c r="E799" t="s">
        <v>2258</v>
      </c>
      <c r="F799" t="s">
        <v>2259</v>
      </c>
      <c r="G799" t="s">
        <v>2260</v>
      </c>
      <c r="H799" t="s">
        <v>28</v>
      </c>
      <c r="I799" t="s">
        <v>852</v>
      </c>
    </row>
    <row r="800" spans="1:9" ht="11.25" customHeight="1">
      <c r="A800" t="s">
        <v>2246</v>
      </c>
      <c r="B800" t="s">
        <v>16</v>
      </c>
      <c r="C800" t="s">
        <v>2261</v>
      </c>
      <c r="D800" t="s">
        <v>2262</v>
      </c>
      <c r="E800" t="s">
        <v>2263</v>
      </c>
      <c r="F800" t="s">
        <v>2264</v>
      </c>
      <c r="G800" t="s">
        <v>28</v>
      </c>
      <c r="H800" t="s">
        <v>28</v>
      </c>
      <c r="I800" t="s">
        <v>852</v>
      </c>
    </row>
    <row r="801" spans="1:9" ht="11.25" customHeight="1">
      <c r="A801" t="s">
        <v>2246</v>
      </c>
      <c r="B801" t="s">
        <v>16</v>
      </c>
      <c r="C801" t="s">
        <v>2265</v>
      </c>
      <c r="D801" t="s">
        <v>2266</v>
      </c>
      <c r="E801" t="s">
        <v>2267</v>
      </c>
      <c r="F801" t="s">
        <v>2268</v>
      </c>
      <c r="G801" t="s">
        <v>2269</v>
      </c>
      <c r="H801" t="s">
        <v>28</v>
      </c>
      <c r="I801" t="s">
        <v>852</v>
      </c>
    </row>
    <row r="802" spans="1:9" ht="11.25" customHeight="1">
      <c r="A802" t="s">
        <v>2246</v>
      </c>
      <c r="B802" t="s">
        <v>16</v>
      </c>
      <c r="C802" t="s">
        <v>2274</v>
      </c>
      <c r="D802" t="s">
        <v>2275</v>
      </c>
      <c r="E802" t="s">
        <v>2276</v>
      </c>
      <c r="F802" t="s">
        <v>2277</v>
      </c>
      <c r="G802" t="s">
        <v>28</v>
      </c>
      <c r="H802" t="s">
        <v>28</v>
      </c>
      <c r="I802" t="s">
        <v>852</v>
      </c>
    </row>
    <row r="803" spans="1:9" ht="11.25" customHeight="1">
      <c r="A803" t="s">
        <v>2246</v>
      </c>
      <c r="B803" t="s">
        <v>16</v>
      </c>
      <c r="C803" t="s">
        <v>2278</v>
      </c>
      <c r="D803" t="s">
        <v>2279</v>
      </c>
      <c r="E803" t="s">
        <v>2280</v>
      </c>
      <c r="F803" t="s">
        <v>2281</v>
      </c>
      <c r="G803" t="s">
        <v>2282</v>
      </c>
      <c r="H803" t="s">
        <v>28</v>
      </c>
      <c r="I803" t="s">
        <v>852</v>
      </c>
    </row>
    <row r="804" spans="1:9" ht="11.25" customHeight="1">
      <c r="A804" t="s">
        <v>2246</v>
      </c>
      <c r="B804" t="s">
        <v>16</v>
      </c>
      <c r="C804" t="s">
        <v>4213</v>
      </c>
      <c r="D804" t="s">
        <v>4214</v>
      </c>
      <c r="E804" t="s">
        <v>4215</v>
      </c>
      <c r="F804" t="s">
        <v>4216</v>
      </c>
      <c r="G804" t="s">
        <v>28</v>
      </c>
      <c r="H804" t="s">
        <v>28</v>
      </c>
      <c r="I804" t="s">
        <v>852</v>
      </c>
    </row>
    <row r="805" spans="1:9" ht="11.25" customHeight="1">
      <c r="A805" t="s">
        <v>2246</v>
      </c>
      <c r="B805" t="s">
        <v>16</v>
      </c>
      <c r="C805" t="s">
        <v>2287</v>
      </c>
      <c r="D805" t="s">
        <v>2288</v>
      </c>
      <c r="E805" t="s">
        <v>2289</v>
      </c>
      <c r="F805" t="s">
        <v>2290</v>
      </c>
      <c r="G805" t="s">
        <v>2291</v>
      </c>
      <c r="H805" t="s">
        <v>28</v>
      </c>
      <c r="I805" t="s">
        <v>852</v>
      </c>
    </row>
    <row r="806" spans="1:9" ht="11.25" customHeight="1">
      <c r="A806" t="s">
        <v>2246</v>
      </c>
      <c r="B806" t="s">
        <v>16</v>
      </c>
      <c r="C806" t="s">
        <v>2292</v>
      </c>
      <c r="D806" t="s">
        <v>2293</v>
      </c>
      <c r="E806" t="s">
        <v>2294</v>
      </c>
      <c r="F806" t="s">
        <v>2295</v>
      </c>
      <c r="G806" t="s">
        <v>28</v>
      </c>
      <c r="H806" t="s">
        <v>28</v>
      </c>
      <c r="I806" t="s">
        <v>852</v>
      </c>
    </row>
    <row r="807" spans="1:9" ht="11.25" customHeight="1">
      <c r="A807" t="s">
        <v>2246</v>
      </c>
      <c r="B807" t="s">
        <v>16</v>
      </c>
      <c r="C807" t="s">
        <v>2300</v>
      </c>
      <c r="D807" t="s">
        <v>2301</v>
      </c>
      <c r="E807" t="s">
        <v>2302</v>
      </c>
      <c r="F807" t="s">
        <v>2303</v>
      </c>
      <c r="G807" t="s">
        <v>28</v>
      </c>
      <c r="H807" t="s">
        <v>28</v>
      </c>
      <c r="I807" t="s">
        <v>852</v>
      </c>
    </row>
    <row r="808" spans="1:9" ht="11.25" customHeight="1">
      <c r="A808" t="s">
        <v>2246</v>
      </c>
      <c r="B808" t="s">
        <v>16</v>
      </c>
      <c r="C808" t="s">
        <v>2307</v>
      </c>
      <c r="D808" t="s">
        <v>2308</v>
      </c>
      <c r="E808" t="s">
        <v>2309</v>
      </c>
      <c r="F808" t="s">
        <v>2310</v>
      </c>
      <c r="G808" t="s">
        <v>28</v>
      </c>
      <c r="H808" t="s">
        <v>28</v>
      </c>
      <c r="I808" t="s">
        <v>852</v>
      </c>
    </row>
    <row r="809" spans="1:9" ht="11.25" customHeight="1">
      <c r="A809" t="s">
        <v>2246</v>
      </c>
      <c r="B809" t="s">
        <v>16</v>
      </c>
      <c r="C809" t="s">
        <v>2311</v>
      </c>
      <c r="D809" t="s">
        <v>2312</v>
      </c>
      <c r="E809" t="s">
        <v>2309</v>
      </c>
      <c r="F809" t="s">
        <v>2313</v>
      </c>
      <c r="G809" t="s">
        <v>2314</v>
      </c>
      <c r="H809" t="s">
        <v>28</v>
      </c>
      <c r="I809" t="s">
        <v>852</v>
      </c>
    </row>
    <row r="810" spans="1:9" ht="11.25" customHeight="1">
      <c r="A810" t="s">
        <v>2246</v>
      </c>
      <c r="B810" t="s">
        <v>16</v>
      </c>
      <c r="C810" t="s">
        <v>2318</v>
      </c>
      <c r="D810" t="s">
        <v>2319</v>
      </c>
      <c r="E810" t="s">
        <v>2320</v>
      </c>
      <c r="F810" t="s">
        <v>2268</v>
      </c>
      <c r="G810" t="s">
        <v>2321</v>
      </c>
      <c r="H810" t="s">
        <v>28</v>
      </c>
      <c r="I810" t="s">
        <v>852</v>
      </c>
    </row>
    <row r="811" spans="1:9" ht="11.25" customHeight="1">
      <c r="A811" t="s">
        <v>2246</v>
      </c>
      <c r="B811" t="s">
        <v>16</v>
      </c>
      <c r="C811" t="s">
        <v>2329</v>
      </c>
      <c r="D811" t="s">
        <v>2330</v>
      </c>
      <c r="E811" t="s">
        <v>2331</v>
      </c>
      <c r="F811" t="s">
        <v>2332</v>
      </c>
      <c r="G811" t="s">
        <v>2333</v>
      </c>
      <c r="H811" t="s">
        <v>28</v>
      </c>
      <c r="I811" t="s">
        <v>852</v>
      </c>
    </row>
    <row r="812" spans="1:9" ht="11.25" customHeight="1">
      <c r="A812" t="s">
        <v>2246</v>
      </c>
      <c r="B812" t="s">
        <v>16</v>
      </c>
      <c r="C812" t="s">
        <v>2334</v>
      </c>
      <c r="D812" t="s">
        <v>2335</v>
      </c>
      <c r="E812" t="s">
        <v>2336</v>
      </c>
      <c r="F812" t="s">
        <v>2250</v>
      </c>
      <c r="G812" t="s">
        <v>28</v>
      </c>
      <c r="H812" t="s">
        <v>28</v>
      </c>
      <c r="I812" t="s">
        <v>852</v>
      </c>
    </row>
    <row r="813" spans="1:9" ht="11.25" customHeight="1">
      <c r="A813" t="s">
        <v>2246</v>
      </c>
      <c r="B813" t="s">
        <v>16</v>
      </c>
      <c r="C813" t="s">
        <v>4217</v>
      </c>
      <c r="D813" t="s">
        <v>4218</v>
      </c>
      <c r="E813" t="s">
        <v>4219</v>
      </c>
      <c r="F813" t="s">
        <v>3869</v>
      </c>
      <c r="G813" t="s">
        <v>28</v>
      </c>
      <c r="H813" t="s">
        <v>28</v>
      </c>
      <c r="I813" t="s">
        <v>852</v>
      </c>
    </row>
    <row r="814" spans="1:9" ht="11.25" customHeight="1">
      <c r="A814" t="s">
        <v>2246</v>
      </c>
      <c r="B814" t="s">
        <v>16</v>
      </c>
      <c r="C814" t="s">
        <v>2344</v>
      </c>
      <c r="D814" t="s">
        <v>2345</v>
      </c>
      <c r="E814" t="s">
        <v>2346</v>
      </c>
      <c r="F814" t="s">
        <v>2347</v>
      </c>
      <c r="G814" t="s">
        <v>2348</v>
      </c>
      <c r="H814" t="s">
        <v>28</v>
      </c>
      <c r="I814" t="s">
        <v>852</v>
      </c>
    </row>
    <row r="815" spans="1:9" ht="11.25" customHeight="1">
      <c r="A815" t="s">
        <v>2246</v>
      </c>
      <c r="B815" t="s">
        <v>16</v>
      </c>
      <c r="C815" t="s">
        <v>2353</v>
      </c>
      <c r="D815" t="s">
        <v>2354</v>
      </c>
      <c r="E815" t="s">
        <v>2355</v>
      </c>
      <c r="F815" t="s">
        <v>2264</v>
      </c>
      <c r="G815" t="s">
        <v>2356</v>
      </c>
      <c r="H815" t="s">
        <v>28</v>
      </c>
      <c r="I815" t="s">
        <v>852</v>
      </c>
    </row>
    <row r="816" spans="1:9" ht="11.25" customHeight="1">
      <c r="A816" t="s">
        <v>2246</v>
      </c>
      <c r="B816" t="s">
        <v>16</v>
      </c>
      <c r="C816" t="s">
        <v>2357</v>
      </c>
      <c r="D816" t="s">
        <v>2358</v>
      </c>
      <c r="E816" t="s">
        <v>2359</v>
      </c>
      <c r="F816" t="s">
        <v>2360</v>
      </c>
      <c r="G816" t="s">
        <v>28</v>
      </c>
      <c r="H816" t="s">
        <v>28</v>
      </c>
      <c r="I816" t="s">
        <v>852</v>
      </c>
    </row>
    <row r="817" spans="1:9" ht="11.25" customHeight="1">
      <c r="A817" t="s">
        <v>2246</v>
      </c>
      <c r="B817" t="s">
        <v>16</v>
      </c>
      <c r="C817" t="s">
        <v>4220</v>
      </c>
      <c r="D817" t="s">
        <v>4221</v>
      </c>
      <c r="E817" t="s">
        <v>4222</v>
      </c>
      <c r="F817" t="s">
        <v>2574</v>
      </c>
      <c r="G817" t="s">
        <v>28</v>
      </c>
      <c r="H817" t="s">
        <v>28</v>
      </c>
      <c r="I817" t="s">
        <v>852</v>
      </c>
    </row>
    <row r="818" spans="1:9" ht="11.25" customHeight="1">
      <c r="A818" t="s">
        <v>2246</v>
      </c>
      <c r="B818" t="s">
        <v>16</v>
      </c>
      <c r="C818" t="s">
        <v>4223</v>
      </c>
      <c r="D818" t="s">
        <v>4224</v>
      </c>
      <c r="E818" t="s">
        <v>4225</v>
      </c>
      <c r="F818" t="s">
        <v>2347</v>
      </c>
      <c r="G818" t="s">
        <v>4226</v>
      </c>
      <c r="H818" t="s">
        <v>28</v>
      </c>
      <c r="I818" t="s">
        <v>852</v>
      </c>
    </row>
    <row r="819" spans="1:9" ht="11.25" customHeight="1">
      <c r="A819" t="s">
        <v>2246</v>
      </c>
      <c r="B819" t="s">
        <v>16</v>
      </c>
      <c r="C819" t="s">
        <v>2364</v>
      </c>
      <c r="D819" t="s">
        <v>2365</v>
      </c>
      <c r="E819" t="s">
        <v>2366</v>
      </c>
      <c r="F819" t="s">
        <v>2264</v>
      </c>
      <c r="G819" t="s">
        <v>28</v>
      </c>
      <c r="H819" t="s">
        <v>28</v>
      </c>
      <c r="I819" t="s">
        <v>852</v>
      </c>
    </row>
    <row r="820" spans="1:9" ht="11.25" customHeight="1">
      <c r="A820" t="s">
        <v>2246</v>
      </c>
      <c r="B820" t="s">
        <v>16</v>
      </c>
      <c r="C820" t="s">
        <v>2371</v>
      </c>
      <c r="D820" t="s">
        <v>2372</v>
      </c>
      <c r="E820" t="s">
        <v>2373</v>
      </c>
      <c r="F820" t="s">
        <v>2360</v>
      </c>
      <c r="G820" t="s">
        <v>2374</v>
      </c>
      <c r="H820" t="s">
        <v>28</v>
      </c>
      <c r="I820" t="s">
        <v>852</v>
      </c>
    </row>
    <row r="821" spans="1:9" ht="11.25" customHeight="1">
      <c r="A821" t="s">
        <v>2246</v>
      </c>
      <c r="B821" t="s">
        <v>16</v>
      </c>
      <c r="C821" t="s">
        <v>2375</v>
      </c>
      <c r="D821" t="s">
        <v>2376</v>
      </c>
      <c r="E821" t="s">
        <v>2377</v>
      </c>
      <c r="F821" t="s">
        <v>2295</v>
      </c>
      <c r="G821" t="s">
        <v>28</v>
      </c>
      <c r="H821" t="s">
        <v>28</v>
      </c>
      <c r="I821" t="s">
        <v>852</v>
      </c>
    </row>
    <row r="822" spans="1:9" ht="11.25" customHeight="1">
      <c r="A822" t="s">
        <v>2246</v>
      </c>
      <c r="B822" t="s">
        <v>16</v>
      </c>
      <c r="C822" t="s">
        <v>2385</v>
      </c>
      <c r="D822" t="s">
        <v>2386</v>
      </c>
      <c r="E822" t="s">
        <v>2387</v>
      </c>
      <c r="F822" t="s">
        <v>2343</v>
      </c>
      <c r="G822" t="s">
        <v>2388</v>
      </c>
      <c r="H822" t="s">
        <v>28</v>
      </c>
      <c r="I822" t="s">
        <v>852</v>
      </c>
    </row>
    <row r="823" spans="1:9" ht="11.25" customHeight="1">
      <c r="A823" t="s">
        <v>2246</v>
      </c>
      <c r="B823" t="s">
        <v>16</v>
      </c>
      <c r="C823" t="s">
        <v>2389</v>
      </c>
      <c r="D823" t="s">
        <v>2390</v>
      </c>
      <c r="E823" t="s">
        <v>2391</v>
      </c>
      <c r="F823" t="s">
        <v>2332</v>
      </c>
      <c r="G823" t="s">
        <v>2392</v>
      </c>
      <c r="H823" t="s">
        <v>28</v>
      </c>
      <c r="I823" t="s">
        <v>852</v>
      </c>
    </row>
    <row r="824" spans="1:9" ht="11.25" customHeight="1">
      <c r="A824" t="s">
        <v>2246</v>
      </c>
      <c r="B824" t="s">
        <v>16</v>
      </c>
      <c r="C824" t="s">
        <v>2393</v>
      </c>
      <c r="D824" t="s">
        <v>2394</v>
      </c>
      <c r="E824" t="s">
        <v>2272</v>
      </c>
      <c r="F824" t="s">
        <v>2395</v>
      </c>
      <c r="G824" t="s">
        <v>2396</v>
      </c>
      <c r="H824" t="s">
        <v>28</v>
      </c>
      <c r="I824" t="s">
        <v>852</v>
      </c>
    </row>
    <row r="825" spans="1:9" ht="11.25" customHeight="1">
      <c r="A825" t="s">
        <v>2246</v>
      </c>
      <c r="B825" t="s">
        <v>16</v>
      </c>
      <c r="C825" t="s">
        <v>2397</v>
      </c>
      <c r="D825" t="s">
        <v>2398</v>
      </c>
      <c r="E825" t="s">
        <v>2399</v>
      </c>
      <c r="F825" t="s">
        <v>2400</v>
      </c>
      <c r="G825" t="s">
        <v>2401</v>
      </c>
      <c r="H825" t="s">
        <v>28</v>
      </c>
      <c r="I825" t="s">
        <v>852</v>
      </c>
    </row>
    <row r="826" spans="1:9" ht="11.25" customHeight="1">
      <c r="A826" t="s">
        <v>2246</v>
      </c>
      <c r="B826" t="s">
        <v>16</v>
      </c>
      <c r="C826" t="s">
        <v>4227</v>
      </c>
      <c r="D826" t="s">
        <v>4228</v>
      </c>
      <c r="E826" t="s">
        <v>4229</v>
      </c>
      <c r="F826" t="s">
        <v>2574</v>
      </c>
      <c r="G826" t="s">
        <v>4230</v>
      </c>
      <c r="H826" t="s">
        <v>28</v>
      </c>
      <c r="I826" t="s">
        <v>852</v>
      </c>
    </row>
    <row r="827" spans="1:9" ht="11.25" customHeight="1">
      <c r="A827" t="s">
        <v>2246</v>
      </c>
      <c r="B827" t="s">
        <v>16</v>
      </c>
      <c r="C827" t="s">
        <v>2406</v>
      </c>
      <c r="D827" t="s">
        <v>2407</v>
      </c>
      <c r="E827" t="s">
        <v>2408</v>
      </c>
      <c r="F827" t="s">
        <v>2409</v>
      </c>
      <c r="G827" t="s">
        <v>28</v>
      </c>
      <c r="H827" t="s">
        <v>28</v>
      </c>
      <c r="I827" t="s">
        <v>852</v>
      </c>
    </row>
    <row r="828" spans="1:9" ht="11.25" customHeight="1">
      <c r="A828" t="s">
        <v>2246</v>
      </c>
      <c r="B828" t="s">
        <v>16</v>
      </c>
      <c r="C828" t="s">
        <v>2416</v>
      </c>
      <c r="D828" t="s">
        <v>2417</v>
      </c>
      <c r="E828" t="s">
        <v>2418</v>
      </c>
      <c r="F828" t="s">
        <v>2400</v>
      </c>
      <c r="G828" t="s">
        <v>28</v>
      </c>
      <c r="H828" t="s">
        <v>28</v>
      </c>
      <c r="I828" t="s">
        <v>852</v>
      </c>
    </row>
    <row r="829" spans="1:9" ht="11.25" customHeight="1">
      <c r="A829" t="s">
        <v>2246</v>
      </c>
      <c r="B829" t="s">
        <v>16</v>
      </c>
      <c r="C829" t="s">
        <v>2423</v>
      </c>
      <c r="D829" t="s">
        <v>2424</v>
      </c>
      <c r="E829" t="s">
        <v>2425</v>
      </c>
      <c r="F829" t="s">
        <v>2303</v>
      </c>
      <c r="G829" t="s">
        <v>2426</v>
      </c>
      <c r="H829" t="s">
        <v>28</v>
      </c>
      <c r="I829" t="s">
        <v>852</v>
      </c>
    </row>
    <row r="830" spans="1:9" ht="11.25" customHeight="1">
      <c r="A830" t="s">
        <v>2246</v>
      </c>
      <c r="B830" t="s">
        <v>16</v>
      </c>
      <c r="C830" t="s">
        <v>2430</v>
      </c>
      <c r="D830" t="s">
        <v>2431</v>
      </c>
      <c r="E830" t="s">
        <v>2425</v>
      </c>
      <c r="F830" t="s">
        <v>2432</v>
      </c>
      <c r="G830" t="s">
        <v>28</v>
      </c>
      <c r="H830" t="s">
        <v>28</v>
      </c>
      <c r="I830" t="s">
        <v>852</v>
      </c>
    </row>
    <row r="831" spans="1:9" ht="11.25" customHeight="1">
      <c r="A831" t="s">
        <v>2246</v>
      </c>
      <c r="B831" t="s">
        <v>16</v>
      </c>
      <c r="C831" t="s">
        <v>2436</v>
      </c>
      <c r="D831" t="s">
        <v>2437</v>
      </c>
      <c r="E831" t="s">
        <v>2425</v>
      </c>
      <c r="F831" t="s">
        <v>2438</v>
      </c>
      <c r="G831" t="s">
        <v>28</v>
      </c>
      <c r="H831" t="s">
        <v>28</v>
      </c>
      <c r="I831" t="s">
        <v>852</v>
      </c>
    </row>
    <row r="832" spans="1:9" ht="11.25" customHeight="1">
      <c r="A832" t="s">
        <v>2246</v>
      </c>
      <c r="B832" t="s">
        <v>16</v>
      </c>
      <c r="C832" t="s">
        <v>2442</v>
      </c>
      <c r="D832" t="s">
        <v>2443</v>
      </c>
      <c r="E832" t="s">
        <v>2425</v>
      </c>
      <c r="F832" t="s">
        <v>2444</v>
      </c>
      <c r="G832" t="s">
        <v>28</v>
      </c>
      <c r="H832" t="s">
        <v>28</v>
      </c>
      <c r="I832" t="s">
        <v>852</v>
      </c>
    </row>
    <row r="833" spans="1:9" ht="11.25" customHeight="1">
      <c r="A833" t="s">
        <v>2246</v>
      </c>
      <c r="B833" t="s">
        <v>16</v>
      </c>
      <c r="C833" t="s">
        <v>2445</v>
      </c>
      <c r="D833" t="s">
        <v>2446</v>
      </c>
      <c r="E833" t="s">
        <v>2425</v>
      </c>
      <c r="F833" t="s">
        <v>2447</v>
      </c>
      <c r="G833" t="s">
        <v>28</v>
      </c>
      <c r="H833" t="s">
        <v>28</v>
      </c>
      <c r="I833" t="s">
        <v>852</v>
      </c>
    </row>
    <row r="834" spans="1:9" ht="11.25" customHeight="1">
      <c r="A834" t="s">
        <v>2246</v>
      </c>
      <c r="B834" t="s">
        <v>16</v>
      </c>
      <c r="C834" t="s">
        <v>2451</v>
      </c>
      <c r="D834" t="s">
        <v>2452</v>
      </c>
      <c r="E834" t="s">
        <v>2425</v>
      </c>
      <c r="F834" t="s">
        <v>2453</v>
      </c>
      <c r="G834" t="s">
        <v>28</v>
      </c>
      <c r="H834" t="s">
        <v>28</v>
      </c>
      <c r="I834" t="s">
        <v>852</v>
      </c>
    </row>
    <row r="835" spans="1:9" ht="11.25" customHeight="1">
      <c r="A835" t="s">
        <v>2246</v>
      </c>
      <c r="B835" t="s">
        <v>16</v>
      </c>
      <c r="C835" t="s">
        <v>2454</v>
      </c>
      <c r="D835" t="s">
        <v>2455</v>
      </c>
      <c r="E835" t="s">
        <v>2425</v>
      </c>
      <c r="F835" t="s">
        <v>2456</v>
      </c>
      <c r="G835" t="s">
        <v>28</v>
      </c>
      <c r="H835" t="s">
        <v>28</v>
      </c>
      <c r="I835" t="s">
        <v>852</v>
      </c>
    </row>
    <row r="836" spans="1:9" ht="11.25" customHeight="1">
      <c r="A836" t="s">
        <v>2246</v>
      </c>
      <c r="B836" t="s">
        <v>16</v>
      </c>
      <c r="C836" t="s">
        <v>2466</v>
      </c>
      <c r="D836" t="s">
        <v>2467</v>
      </c>
      <c r="E836" t="s">
        <v>2468</v>
      </c>
      <c r="F836" t="s">
        <v>2268</v>
      </c>
      <c r="G836" t="s">
        <v>2469</v>
      </c>
      <c r="H836" t="s">
        <v>28</v>
      </c>
      <c r="I836" t="s">
        <v>852</v>
      </c>
    </row>
    <row r="837" spans="1:9" ht="11.25" customHeight="1">
      <c r="A837" t="s">
        <v>2246</v>
      </c>
      <c r="B837" t="s">
        <v>16</v>
      </c>
      <c r="C837" t="s">
        <v>2470</v>
      </c>
      <c r="D837" t="s">
        <v>2471</v>
      </c>
      <c r="E837" t="s">
        <v>2472</v>
      </c>
      <c r="F837" t="s">
        <v>2332</v>
      </c>
      <c r="G837" t="s">
        <v>2473</v>
      </c>
      <c r="H837" t="s">
        <v>28</v>
      </c>
      <c r="I837" t="s">
        <v>852</v>
      </c>
    </row>
    <row r="838" spans="1:9" ht="11.25" customHeight="1">
      <c r="A838" t="s">
        <v>2246</v>
      </c>
      <c r="B838" t="s">
        <v>16</v>
      </c>
      <c r="C838" t="s">
        <v>4231</v>
      </c>
      <c r="D838" t="s">
        <v>4232</v>
      </c>
      <c r="E838" t="s">
        <v>4233</v>
      </c>
      <c r="F838" t="s">
        <v>2250</v>
      </c>
      <c r="G838" t="s">
        <v>4234</v>
      </c>
      <c r="H838" t="s">
        <v>28</v>
      </c>
      <c r="I838" t="s">
        <v>852</v>
      </c>
    </row>
    <row r="839" spans="1:9" ht="11.25" customHeight="1">
      <c r="A839" t="s">
        <v>2246</v>
      </c>
      <c r="B839" t="s">
        <v>16</v>
      </c>
      <c r="C839" t="s">
        <v>2477</v>
      </c>
      <c r="D839" t="s">
        <v>2478</v>
      </c>
      <c r="E839" t="s">
        <v>2479</v>
      </c>
      <c r="F839" t="s">
        <v>2250</v>
      </c>
      <c r="G839" t="s">
        <v>28</v>
      </c>
      <c r="H839" t="s">
        <v>28</v>
      </c>
      <c r="I839" t="s">
        <v>852</v>
      </c>
    </row>
    <row r="840" spans="1:9" ht="11.25" customHeight="1">
      <c r="A840" t="s">
        <v>2246</v>
      </c>
      <c r="B840" t="s">
        <v>16</v>
      </c>
      <c r="C840" t="s">
        <v>2480</v>
      </c>
      <c r="D840" t="s">
        <v>2481</v>
      </c>
      <c r="E840" t="s">
        <v>2482</v>
      </c>
      <c r="F840" t="s">
        <v>2268</v>
      </c>
      <c r="G840" t="s">
        <v>2483</v>
      </c>
      <c r="H840" t="s">
        <v>28</v>
      </c>
      <c r="I840" t="s">
        <v>852</v>
      </c>
    </row>
    <row r="841" spans="1:9" ht="11.25" customHeight="1">
      <c r="A841" t="s">
        <v>2246</v>
      </c>
      <c r="B841" t="s">
        <v>16</v>
      </c>
      <c r="C841" t="s">
        <v>2507</v>
      </c>
      <c r="D841" t="s">
        <v>2508</v>
      </c>
      <c r="E841" t="s">
        <v>2486</v>
      </c>
      <c r="F841" t="s">
        <v>2509</v>
      </c>
      <c r="G841" t="s">
        <v>28</v>
      </c>
      <c r="H841" t="s">
        <v>28</v>
      </c>
      <c r="I841" t="s">
        <v>852</v>
      </c>
    </row>
    <row r="842" spans="1:9" ht="11.25" customHeight="1">
      <c r="A842" t="s">
        <v>2246</v>
      </c>
      <c r="B842" t="s">
        <v>16</v>
      </c>
      <c r="C842" t="s">
        <v>2513</v>
      </c>
      <c r="D842" t="s">
        <v>2514</v>
      </c>
      <c r="E842" t="s">
        <v>2486</v>
      </c>
      <c r="F842" t="s">
        <v>2515</v>
      </c>
      <c r="G842" t="s">
        <v>28</v>
      </c>
      <c r="H842" t="s">
        <v>28</v>
      </c>
      <c r="I842" t="s">
        <v>852</v>
      </c>
    </row>
    <row r="843" spans="1:9" ht="11.25" customHeight="1">
      <c r="A843" t="s">
        <v>2246</v>
      </c>
      <c r="B843" t="s">
        <v>16</v>
      </c>
      <c r="C843" t="s">
        <v>2531</v>
      </c>
      <c r="D843" t="s">
        <v>2532</v>
      </c>
      <c r="E843" t="s">
        <v>2486</v>
      </c>
      <c r="F843" t="s">
        <v>2533</v>
      </c>
      <c r="G843" t="s">
        <v>28</v>
      </c>
      <c r="H843" t="s">
        <v>28</v>
      </c>
      <c r="I843" t="s">
        <v>852</v>
      </c>
    </row>
    <row r="844" spans="1:9" ht="11.25" customHeight="1">
      <c r="A844" t="s">
        <v>2246</v>
      </c>
      <c r="B844" t="s">
        <v>16</v>
      </c>
      <c r="C844" t="s">
        <v>2541</v>
      </c>
      <c r="D844" t="s">
        <v>2542</v>
      </c>
      <c r="E844" t="s">
        <v>2543</v>
      </c>
      <c r="F844" t="s">
        <v>2544</v>
      </c>
      <c r="G844" t="s">
        <v>28</v>
      </c>
      <c r="H844" t="s">
        <v>28</v>
      </c>
      <c r="I844" t="s">
        <v>852</v>
      </c>
    </row>
    <row r="845" spans="1:9" ht="11.25" customHeight="1">
      <c r="A845" t="s">
        <v>2246</v>
      </c>
      <c r="B845" t="s">
        <v>16</v>
      </c>
      <c r="C845" t="s">
        <v>2545</v>
      </c>
      <c r="D845" t="s">
        <v>2546</v>
      </c>
      <c r="E845" t="s">
        <v>2547</v>
      </c>
      <c r="F845" t="s">
        <v>2303</v>
      </c>
      <c r="G845" t="s">
        <v>28</v>
      </c>
      <c r="H845" t="s">
        <v>28</v>
      </c>
      <c r="I845" t="s">
        <v>852</v>
      </c>
    </row>
    <row r="846" spans="1:9" ht="11.25" customHeight="1">
      <c r="A846" t="s">
        <v>2246</v>
      </c>
      <c r="B846" t="s">
        <v>16</v>
      </c>
      <c r="C846" t="s">
        <v>2551</v>
      </c>
      <c r="D846" t="s">
        <v>2552</v>
      </c>
      <c r="E846" t="s">
        <v>2553</v>
      </c>
      <c r="F846" t="s">
        <v>2384</v>
      </c>
      <c r="G846" t="s">
        <v>28</v>
      </c>
      <c r="H846" t="s">
        <v>28</v>
      </c>
      <c r="I846" t="s">
        <v>852</v>
      </c>
    </row>
    <row r="847" spans="1:9" ht="11.25" customHeight="1">
      <c r="A847" t="s">
        <v>2246</v>
      </c>
      <c r="B847" t="s">
        <v>16</v>
      </c>
      <c r="C847" t="s">
        <v>2561</v>
      </c>
      <c r="D847" t="s">
        <v>2562</v>
      </c>
      <c r="E847" t="s">
        <v>2563</v>
      </c>
      <c r="F847" t="s">
        <v>2332</v>
      </c>
      <c r="G847" t="s">
        <v>2564</v>
      </c>
      <c r="H847" t="s">
        <v>28</v>
      </c>
      <c r="I847" t="s">
        <v>852</v>
      </c>
    </row>
    <row r="848" spans="1:9" ht="11.25" customHeight="1">
      <c r="A848" t="s">
        <v>2246</v>
      </c>
      <c r="B848" t="s">
        <v>16</v>
      </c>
      <c r="C848" t="s">
        <v>2565</v>
      </c>
      <c r="D848" t="s">
        <v>2566</v>
      </c>
      <c r="E848" t="s">
        <v>2567</v>
      </c>
      <c r="F848" t="s">
        <v>2313</v>
      </c>
      <c r="G848" t="s">
        <v>28</v>
      </c>
      <c r="H848" t="s">
        <v>28</v>
      </c>
      <c r="I848" t="s">
        <v>852</v>
      </c>
    </row>
    <row r="849" spans="1:9" ht="11.25" customHeight="1">
      <c r="A849" t="s">
        <v>2246</v>
      </c>
      <c r="B849" t="s">
        <v>16</v>
      </c>
      <c r="C849" t="s">
        <v>4235</v>
      </c>
      <c r="D849" t="s">
        <v>4236</v>
      </c>
      <c r="E849" t="s">
        <v>4237</v>
      </c>
      <c r="F849" t="s">
        <v>2574</v>
      </c>
      <c r="G849" t="s">
        <v>28</v>
      </c>
      <c r="H849" t="s">
        <v>28</v>
      </c>
      <c r="I849" t="s">
        <v>852</v>
      </c>
    </row>
    <row r="850" spans="1:9" ht="11.25" customHeight="1">
      <c r="A850" t="s">
        <v>2246</v>
      </c>
      <c r="B850" t="s">
        <v>16</v>
      </c>
      <c r="C850" t="s">
        <v>2579</v>
      </c>
      <c r="D850" t="s">
        <v>2580</v>
      </c>
      <c r="E850" t="s">
        <v>2581</v>
      </c>
      <c r="F850" t="s">
        <v>2582</v>
      </c>
      <c r="G850" t="s">
        <v>2583</v>
      </c>
      <c r="H850" t="s">
        <v>28</v>
      </c>
      <c r="I850" t="s">
        <v>852</v>
      </c>
    </row>
    <row r="851" spans="1:9" ht="11.25" customHeight="1">
      <c r="A851" t="s">
        <v>2246</v>
      </c>
      <c r="B851" t="s">
        <v>16</v>
      </c>
      <c r="C851" t="s">
        <v>4238</v>
      </c>
      <c r="D851" t="s">
        <v>4239</v>
      </c>
      <c r="E851" t="s">
        <v>4240</v>
      </c>
      <c r="F851" t="s">
        <v>2582</v>
      </c>
      <c r="G851" t="s">
        <v>4241</v>
      </c>
      <c r="H851" t="s">
        <v>28</v>
      </c>
      <c r="I851" t="s">
        <v>852</v>
      </c>
    </row>
    <row r="852" spans="1:9" ht="11.25" customHeight="1">
      <c r="A852" t="s">
        <v>2246</v>
      </c>
      <c r="B852" t="s">
        <v>16</v>
      </c>
      <c r="C852" t="s">
        <v>2584</v>
      </c>
      <c r="D852" t="s">
        <v>2585</v>
      </c>
      <c r="E852" t="s">
        <v>2586</v>
      </c>
      <c r="F852" t="s">
        <v>2332</v>
      </c>
      <c r="G852" t="s">
        <v>2587</v>
      </c>
      <c r="H852" t="s">
        <v>28</v>
      </c>
      <c r="I852" t="s">
        <v>852</v>
      </c>
    </row>
    <row r="853" spans="1:9" ht="11.25" customHeight="1">
      <c r="A853" t="s">
        <v>2246</v>
      </c>
      <c r="B853" t="s">
        <v>16</v>
      </c>
      <c r="C853" t="s">
        <v>2604</v>
      </c>
      <c r="D853" t="s">
        <v>2605</v>
      </c>
      <c r="E853" t="s">
        <v>2606</v>
      </c>
      <c r="F853" t="s">
        <v>2370</v>
      </c>
      <c r="G853" t="s">
        <v>2607</v>
      </c>
      <c r="H853" t="s">
        <v>28</v>
      </c>
      <c r="I853" t="s">
        <v>852</v>
      </c>
    </row>
    <row r="854" spans="1:9" ht="11.25" customHeight="1">
      <c r="A854" t="s">
        <v>2246</v>
      </c>
      <c r="B854" t="s">
        <v>16</v>
      </c>
      <c r="C854" t="s">
        <v>2608</v>
      </c>
      <c r="D854" t="s">
        <v>2609</v>
      </c>
      <c r="E854" t="s">
        <v>2610</v>
      </c>
      <c r="F854" t="s">
        <v>2250</v>
      </c>
      <c r="G854" t="s">
        <v>28</v>
      </c>
      <c r="H854" t="s">
        <v>28</v>
      </c>
      <c r="I854" t="s">
        <v>852</v>
      </c>
    </row>
    <row r="855" spans="1:9" ht="11.25" customHeight="1">
      <c r="A855" t="s">
        <v>2246</v>
      </c>
      <c r="B855" t="s">
        <v>16</v>
      </c>
      <c r="C855" t="s">
        <v>2620</v>
      </c>
      <c r="D855" t="s">
        <v>2621</v>
      </c>
      <c r="E855" t="s">
        <v>2622</v>
      </c>
      <c r="F855" t="s">
        <v>2343</v>
      </c>
      <c r="G855" t="s">
        <v>28</v>
      </c>
      <c r="H855" t="s">
        <v>28</v>
      </c>
      <c r="I855" t="s">
        <v>852</v>
      </c>
    </row>
    <row r="856" spans="1:9" ht="11.25" customHeight="1">
      <c r="A856" t="s">
        <v>2246</v>
      </c>
      <c r="B856" t="s">
        <v>16</v>
      </c>
      <c r="C856" t="s">
        <v>2623</v>
      </c>
      <c r="D856" t="s">
        <v>2624</v>
      </c>
      <c r="E856" t="s">
        <v>2625</v>
      </c>
      <c r="F856" t="s">
        <v>2325</v>
      </c>
      <c r="G856" t="s">
        <v>28</v>
      </c>
      <c r="H856" t="s">
        <v>28</v>
      </c>
      <c r="I856" t="s">
        <v>852</v>
      </c>
    </row>
    <row r="857" spans="1:9" ht="11.25" customHeight="1">
      <c r="A857" t="s">
        <v>2246</v>
      </c>
      <c r="B857" t="s">
        <v>16</v>
      </c>
      <c r="C857" t="s">
        <v>2626</v>
      </c>
      <c r="D857" t="s">
        <v>2627</v>
      </c>
      <c r="E857" t="s">
        <v>2628</v>
      </c>
      <c r="F857" t="s">
        <v>2629</v>
      </c>
      <c r="G857" t="s">
        <v>2630</v>
      </c>
      <c r="H857" t="s">
        <v>28</v>
      </c>
      <c r="I857" t="s">
        <v>852</v>
      </c>
    </row>
    <row r="858" spans="1:9" ht="11.25" customHeight="1">
      <c r="A858" t="s">
        <v>2246</v>
      </c>
      <c r="B858" t="s">
        <v>16</v>
      </c>
      <c r="C858" t="s">
        <v>2634</v>
      </c>
      <c r="D858" t="s">
        <v>2635</v>
      </c>
      <c r="E858" t="s">
        <v>2636</v>
      </c>
      <c r="F858" t="s">
        <v>2637</v>
      </c>
      <c r="G858" t="s">
        <v>28</v>
      </c>
      <c r="H858" t="s">
        <v>28</v>
      </c>
      <c r="I858" t="s">
        <v>852</v>
      </c>
    </row>
    <row r="859" spans="1:9" ht="11.25" customHeight="1">
      <c r="A859" t="s">
        <v>2246</v>
      </c>
      <c r="B859" t="s">
        <v>16</v>
      </c>
      <c r="C859" t="s">
        <v>2638</v>
      </c>
      <c r="D859" t="s">
        <v>2639</v>
      </c>
      <c r="E859" t="s">
        <v>2636</v>
      </c>
      <c r="F859" t="s">
        <v>2343</v>
      </c>
      <c r="G859" t="s">
        <v>2483</v>
      </c>
      <c r="H859" t="s">
        <v>28</v>
      </c>
      <c r="I859" t="s">
        <v>852</v>
      </c>
    </row>
    <row r="860" spans="1:9" ht="11.25" customHeight="1">
      <c r="A860" t="s">
        <v>2246</v>
      </c>
      <c r="B860" t="s">
        <v>16</v>
      </c>
      <c r="C860" t="s">
        <v>2659</v>
      </c>
      <c r="D860" t="s">
        <v>2660</v>
      </c>
      <c r="E860" t="s">
        <v>2661</v>
      </c>
      <c r="F860" t="s">
        <v>2370</v>
      </c>
      <c r="G860" t="s">
        <v>2662</v>
      </c>
      <c r="H860" t="s">
        <v>28</v>
      </c>
      <c r="I860" t="s">
        <v>852</v>
      </c>
    </row>
    <row r="861" spans="1:9" ht="11.25" customHeight="1">
      <c r="A861" t="s">
        <v>2246</v>
      </c>
      <c r="B861" t="s">
        <v>16</v>
      </c>
      <c r="C861" t="s">
        <v>2666</v>
      </c>
      <c r="D861" t="s">
        <v>2667</v>
      </c>
      <c r="E861" t="s">
        <v>2408</v>
      </c>
      <c r="F861" t="s">
        <v>2668</v>
      </c>
      <c r="G861" t="s">
        <v>28</v>
      </c>
      <c r="H861" t="s">
        <v>28</v>
      </c>
      <c r="I861" t="s">
        <v>852</v>
      </c>
    </row>
    <row r="862" spans="1:9" ht="11.25" customHeight="1">
      <c r="A862" t="s">
        <v>2246</v>
      </c>
      <c r="B862" t="s">
        <v>16</v>
      </c>
      <c r="C862" t="s">
        <v>2672</v>
      </c>
      <c r="D862" t="s">
        <v>2673</v>
      </c>
      <c r="E862" t="s">
        <v>2674</v>
      </c>
      <c r="F862" t="s">
        <v>50</v>
      </c>
      <c r="G862" t="s">
        <v>28</v>
      </c>
      <c r="H862" t="s">
        <v>28</v>
      </c>
      <c r="I862" t="s">
        <v>852</v>
      </c>
    </row>
    <row r="863" spans="1:9" ht="11.25" customHeight="1">
      <c r="A863" t="s">
        <v>2246</v>
      </c>
      <c r="B863" t="s">
        <v>16</v>
      </c>
      <c r="C863" t="s">
        <v>2678</v>
      </c>
      <c r="D863" t="s">
        <v>2679</v>
      </c>
      <c r="E863" t="s">
        <v>2543</v>
      </c>
      <c r="F863" t="s">
        <v>2680</v>
      </c>
      <c r="G863" t="s">
        <v>28</v>
      </c>
      <c r="H863" t="s">
        <v>28</v>
      </c>
      <c r="I863" t="s">
        <v>852</v>
      </c>
    </row>
    <row r="864" spans="1:9" ht="11.25" customHeight="1">
      <c r="A864" t="s">
        <v>2246</v>
      </c>
      <c r="B864" t="s">
        <v>16</v>
      </c>
      <c r="C864" t="s">
        <v>2688</v>
      </c>
      <c r="D864" t="s">
        <v>2689</v>
      </c>
      <c r="E864" t="s">
        <v>2690</v>
      </c>
      <c r="F864" t="s">
        <v>2384</v>
      </c>
      <c r="G864" t="s">
        <v>28</v>
      </c>
      <c r="H864" t="s">
        <v>28</v>
      </c>
      <c r="I864" t="s">
        <v>852</v>
      </c>
    </row>
    <row r="865" spans="1:9" ht="11.25" customHeight="1">
      <c r="A865" t="s">
        <v>2246</v>
      </c>
      <c r="B865" t="s">
        <v>16</v>
      </c>
      <c r="C865" t="s">
        <v>2691</v>
      </c>
      <c r="D865" t="s">
        <v>2692</v>
      </c>
      <c r="E865" t="s">
        <v>2693</v>
      </c>
      <c r="F865" t="s">
        <v>2687</v>
      </c>
      <c r="G865" t="s">
        <v>28</v>
      </c>
      <c r="H865" t="s">
        <v>28</v>
      </c>
      <c r="I865" t="s">
        <v>852</v>
      </c>
    </row>
    <row r="866" spans="1:9" ht="11.25" customHeight="1">
      <c r="A866" t="s">
        <v>2246</v>
      </c>
      <c r="B866" t="s">
        <v>16</v>
      </c>
      <c r="C866" t="s">
        <v>2694</v>
      </c>
      <c r="D866" t="s">
        <v>2695</v>
      </c>
      <c r="E866" t="s">
        <v>2696</v>
      </c>
      <c r="F866" t="s">
        <v>2332</v>
      </c>
      <c r="G866" t="s">
        <v>28</v>
      </c>
      <c r="H866" t="s">
        <v>28</v>
      </c>
      <c r="I866" t="s">
        <v>852</v>
      </c>
    </row>
    <row r="867" spans="1:9" ht="11.25" customHeight="1">
      <c r="A867" t="s">
        <v>2246</v>
      </c>
      <c r="B867" t="s">
        <v>16</v>
      </c>
      <c r="C867" t="s">
        <v>2697</v>
      </c>
      <c r="D867" t="s">
        <v>2698</v>
      </c>
      <c r="E867" t="s">
        <v>2699</v>
      </c>
      <c r="F867" t="s">
        <v>2250</v>
      </c>
      <c r="G867" t="s">
        <v>2700</v>
      </c>
      <c r="H867" t="s">
        <v>28</v>
      </c>
      <c r="I867" t="s">
        <v>852</v>
      </c>
    </row>
    <row r="868" spans="1:9" ht="11.25" customHeight="1">
      <c r="A868" t="s">
        <v>2246</v>
      </c>
      <c r="B868" t="s">
        <v>16</v>
      </c>
      <c r="C868" t="s">
        <v>4242</v>
      </c>
      <c r="D868" t="s">
        <v>4243</v>
      </c>
      <c r="E868" t="s">
        <v>4244</v>
      </c>
      <c r="F868" t="s">
        <v>2574</v>
      </c>
      <c r="G868" t="s">
        <v>28</v>
      </c>
      <c r="H868" t="s">
        <v>28</v>
      </c>
      <c r="I868" t="s">
        <v>852</v>
      </c>
    </row>
    <row r="869" spans="1:9" ht="11.25" customHeight="1">
      <c r="A869" t="s">
        <v>2246</v>
      </c>
      <c r="B869" t="s">
        <v>16</v>
      </c>
      <c r="C869" t="s">
        <v>2708</v>
      </c>
      <c r="D869" t="s">
        <v>2709</v>
      </c>
      <c r="E869" t="s">
        <v>2710</v>
      </c>
      <c r="F869" t="s">
        <v>2286</v>
      </c>
      <c r="G869" t="s">
        <v>28</v>
      </c>
      <c r="H869" t="s">
        <v>28</v>
      </c>
      <c r="I869" t="s">
        <v>852</v>
      </c>
    </row>
    <row r="870" spans="1:9" ht="11.25" customHeight="1">
      <c r="A870" t="s">
        <v>2246</v>
      </c>
      <c r="B870" t="s">
        <v>16</v>
      </c>
      <c r="C870" t="s">
        <v>2718</v>
      </c>
      <c r="D870" t="s">
        <v>2719</v>
      </c>
      <c r="E870" t="s">
        <v>2720</v>
      </c>
      <c r="F870" t="s">
        <v>2343</v>
      </c>
      <c r="G870" t="s">
        <v>28</v>
      </c>
      <c r="H870" t="s">
        <v>28</v>
      </c>
      <c r="I870" t="s">
        <v>852</v>
      </c>
    </row>
    <row r="871" spans="1:9" ht="11.25" customHeight="1">
      <c r="A871" t="s">
        <v>2246</v>
      </c>
      <c r="B871" t="s">
        <v>16</v>
      </c>
      <c r="C871" t="s">
        <v>2721</v>
      </c>
      <c r="D871" t="s">
        <v>2722</v>
      </c>
      <c r="E871" t="s">
        <v>2723</v>
      </c>
      <c r="F871" t="s">
        <v>2724</v>
      </c>
      <c r="G871" t="s">
        <v>2725</v>
      </c>
      <c r="H871" t="s">
        <v>28</v>
      </c>
      <c r="I871" t="s">
        <v>852</v>
      </c>
    </row>
    <row r="872" spans="1:9" ht="11.25" customHeight="1">
      <c r="A872" t="s">
        <v>2246</v>
      </c>
      <c r="B872" t="s">
        <v>16</v>
      </c>
      <c r="C872" t="s">
        <v>2735</v>
      </c>
      <c r="D872" t="s">
        <v>2736</v>
      </c>
      <c r="E872" t="s">
        <v>2737</v>
      </c>
      <c r="F872" t="s">
        <v>2303</v>
      </c>
      <c r="G872" t="s">
        <v>28</v>
      </c>
      <c r="H872" t="s">
        <v>28</v>
      </c>
      <c r="I872" t="s">
        <v>852</v>
      </c>
    </row>
    <row r="873" spans="1:9" ht="11.25" customHeight="1">
      <c r="A873" t="s">
        <v>2246</v>
      </c>
      <c r="B873" t="s">
        <v>16</v>
      </c>
      <c r="C873" t="s">
        <v>4245</v>
      </c>
      <c r="D873" t="s">
        <v>4246</v>
      </c>
      <c r="E873" t="s">
        <v>4247</v>
      </c>
      <c r="F873" t="s">
        <v>2325</v>
      </c>
      <c r="G873" t="s">
        <v>4248</v>
      </c>
      <c r="H873" t="s">
        <v>28</v>
      </c>
      <c r="I873" t="s">
        <v>852</v>
      </c>
    </row>
    <row r="874" spans="1:9" ht="11.25" customHeight="1">
      <c r="A874" t="s">
        <v>2246</v>
      </c>
      <c r="B874" t="s">
        <v>16</v>
      </c>
      <c r="C874" t="s">
        <v>2738</v>
      </c>
      <c r="D874" t="s">
        <v>2739</v>
      </c>
      <c r="E874" t="s">
        <v>2740</v>
      </c>
      <c r="F874" t="s">
        <v>2325</v>
      </c>
      <c r="G874" t="s">
        <v>2741</v>
      </c>
      <c r="H874" t="s">
        <v>28</v>
      </c>
      <c r="I874" t="s">
        <v>852</v>
      </c>
    </row>
    <row r="875" spans="1:9" ht="11.25" customHeight="1">
      <c r="A875" t="s">
        <v>2246</v>
      </c>
      <c r="B875" t="s">
        <v>16</v>
      </c>
      <c r="C875" t="s">
        <v>2755</v>
      </c>
      <c r="D875" t="s">
        <v>2756</v>
      </c>
      <c r="E875" t="s">
        <v>2757</v>
      </c>
      <c r="F875" t="s">
        <v>2758</v>
      </c>
      <c r="G875" t="s">
        <v>28</v>
      </c>
      <c r="H875" t="s">
        <v>28</v>
      </c>
      <c r="I875" t="s">
        <v>852</v>
      </c>
    </row>
    <row r="876" spans="1:9" ht="11.25" customHeight="1">
      <c r="A876" t="s">
        <v>2246</v>
      </c>
      <c r="B876" t="s">
        <v>16</v>
      </c>
      <c r="C876" t="s">
        <v>2762</v>
      </c>
      <c r="D876" t="s">
        <v>2763</v>
      </c>
      <c r="E876" t="s">
        <v>2764</v>
      </c>
      <c r="F876" t="s">
        <v>2384</v>
      </c>
      <c r="G876" t="s">
        <v>2765</v>
      </c>
      <c r="H876" t="s">
        <v>28</v>
      </c>
      <c r="I876" t="s">
        <v>852</v>
      </c>
    </row>
    <row r="877" spans="1:9" ht="11.25" customHeight="1">
      <c r="A877" t="s">
        <v>2246</v>
      </c>
      <c r="B877" t="s">
        <v>16</v>
      </c>
      <c r="C877" t="s">
        <v>2775</v>
      </c>
      <c r="D877" t="s">
        <v>2776</v>
      </c>
      <c r="E877" t="s">
        <v>2777</v>
      </c>
      <c r="F877" t="s">
        <v>574</v>
      </c>
      <c r="G877" t="s">
        <v>28</v>
      </c>
      <c r="H877" t="s">
        <v>28</v>
      </c>
      <c r="I877" t="s">
        <v>852</v>
      </c>
    </row>
    <row r="878" spans="1:9" ht="11.25" customHeight="1">
      <c r="A878" t="s">
        <v>2246</v>
      </c>
      <c r="B878" t="s">
        <v>16</v>
      </c>
      <c r="C878" t="s">
        <v>4249</v>
      </c>
      <c r="D878" t="s">
        <v>4250</v>
      </c>
      <c r="E878" t="s">
        <v>4251</v>
      </c>
      <c r="F878" t="s">
        <v>574</v>
      </c>
      <c r="G878" t="s">
        <v>28</v>
      </c>
      <c r="H878" t="s">
        <v>28</v>
      </c>
      <c r="I878" t="s">
        <v>852</v>
      </c>
    </row>
    <row r="879" spans="1:9" ht="11.25" customHeight="1">
      <c r="A879" t="s">
        <v>2246</v>
      </c>
      <c r="B879" t="s">
        <v>16</v>
      </c>
      <c r="C879" t="s">
        <v>4252</v>
      </c>
      <c r="D879" t="s">
        <v>4253</v>
      </c>
      <c r="E879" t="s">
        <v>4254</v>
      </c>
      <c r="F879" t="s">
        <v>574</v>
      </c>
      <c r="G879" t="s">
        <v>4255</v>
      </c>
      <c r="H879" t="s">
        <v>28</v>
      </c>
      <c r="I879" t="s">
        <v>852</v>
      </c>
    </row>
    <row r="880" spans="1:9" ht="11.25" customHeight="1">
      <c r="A880" t="s">
        <v>2246</v>
      </c>
      <c r="B880" t="s">
        <v>16</v>
      </c>
      <c r="C880" t="s">
        <v>2800</v>
      </c>
      <c r="D880" t="s">
        <v>2801</v>
      </c>
      <c r="E880" t="s">
        <v>2802</v>
      </c>
      <c r="F880" t="s">
        <v>574</v>
      </c>
      <c r="G880" t="s">
        <v>2803</v>
      </c>
      <c r="H880" t="s">
        <v>28</v>
      </c>
      <c r="I880" t="s">
        <v>852</v>
      </c>
    </row>
    <row r="881" spans="1:9" ht="11.25" customHeight="1">
      <c r="A881" t="s">
        <v>2246</v>
      </c>
      <c r="B881" t="s">
        <v>16</v>
      </c>
      <c r="C881" t="s">
        <v>2820</v>
      </c>
      <c r="D881" t="s">
        <v>2821</v>
      </c>
      <c r="E881" t="s">
        <v>2822</v>
      </c>
      <c r="F881" t="s">
        <v>2400</v>
      </c>
      <c r="G881" t="s">
        <v>28</v>
      </c>
      <c r="H881" t="s">
        <v>28</v>
      </c>
      <c r="I881" t="s">
        <v>852</v>
      </c>
    </row>
    <row r="882" spans="1:9" ht="11.25" customHeight="1">
      <c r="A882" t="s">
        <v>2246</v>
      </c>
      <c r="B882" t="s">
        <v>16</v>
      </c>
      <c r="C882" t="s">
        <v>2823</v>
      </c>
      <c r="D882" t="s">
        <v>2824</v>
      </c>
      <c r="E882" t="s">
        <v>2825</v>
      </c>
      <c r="F882" t="s">
        <v>2286</v>
      </c>
      <c r="G882" t="s">
        <v>28</v>
      </c>
      <c r="H882" t="s">
        <v>28</v>
      </c>
      <c r="I882" t="s">
        <v>852</v>
      </c>
    </row>
    <row r="883" spans="1:9" ht="11.25" customHeight="1">
      <c r="A883" t="s">
        <v>2246</v>
      </c>
      <c r="B883" t="s">
        <v>16</v>
      </c>
      <c r="C883" t="s">
        <v>4256</v>
      </c>
      <c r="D883" t="s">
        <v>4257</v>
      </c>
      <c r="E883" t="s">
        <v>4258</v>
      </c>
      <c r="F883" t="s">
        <v>2286</v>
      </c>
      <c r="G883" t="s">
        <v>28</v>
      </c>
      <c r="H883" t="s">
        <v>28</v>
      </c>
      <c r="I883" t="s">
        <v>852</v>
      </c>
    </row>
    <row r="884" spans="1:9" ht="11.25" customHeight="1">
      <c r="A884" t="s">
        <v>2246</v>
      </c>
      <c r="B884" t="s">
        <v>16</v>
      </c>
      <c r="C884" t="s">
        <v>4259</v>
      </c>
      <c r="D884" t="s">
        <v>4260</v>
      </c>
      <c r="E884" t="s">
        <v>4261</v>
      </c>
      <c r="F884" t="s">
        <v>3188</v>
      </c>
      <c r="G884" t="s">
        <v>28</v>
      </c>
      <c r="H884" t="s">
        <v>28</v>
      </c>
      <c r="I884" t="s">
        <v>852</v>
      </c>
    </row>
    <row r="885" spans="1:9" ht="11.25" customHeight="1">
      <c r="A885" t="s">
        <v>2246</v>
      </c>
      <c r="B885" t="s">
        <v>16</v>
      </c>
      <c r="C885" t="s">
        <v>2829</v>
      </c>
      <c r="D885" t="s">
        <v>2830</v>
      </c>
      <c r="E885" t="s">
        <v>2831</v>
      </c>
      <c r="F885" t="s">
        <v>2582</v>
      </c>
      <c r="G885" t="s">
        <v>28</v>
      </c>
      <c r="H885" t="s">
        <v>28</v>
      </c>
      <c r="I885" t="s">
        <v>852</v>
      </c>
    </row>
    <row r="886" spans="1:9" ht="11.25" customHeight="1">
      <c r="A886" t="s">
        <v>2246</v>
      </c>
      <c r="B886" t="s">
        <v>16</v>
      </c>
      <c r="C886" t="s">
        <v>4262</v>
      </c>
      <c r="D886" t="s">
        <v>4263</v>
      </c>
      <c r="E886" t="s">
        <v>4264</v>
      </c>
      <c r="F886" t="s">
        <v>2582</v>
      </c>
      <c r="G886" t="s">
        <v>28</v>
      </c>
      <c r="H886" t="s">
        <v>28</v>
      </c>
      <c r="I886" t="s">
        <v>852</v>
      </c>
    </row>
    <row r="887" spans="1:9" ht="11.25" customHeight="1">
      <c r="A887" t="s">
        <v>2246</v>
      </c>
      <c r="B887" t="s">
        <v>16</v>
      </c>
      <c r="C887" t="s">
        <v>2832</v>
      </c>
      <c r="D887" t="s">
        <v>2833</v>
      </c>
      <c r="E887" t="s">
        <v>2834</v>
      </c>
      <c r="F887" t="s">
        <v>2268</v>
      </c>
      <c r="G887" t="s">
        <v>28</v>
      </c>
      <c r="H887" t="s">
        <v>28</v>
      </c>
      <c r="I887" t="s">
        <v>852</v>
      </c>
    </row>
    <row r="888" spans="1:9" ht="11.25" customHeight="1">
      <c r="A888" t="s">
        <v>2246</v>
      </c>
      <c r="B888" t="s">
        <v>16</v>
      </c>
      <c r="C888" t="s">
        <v>4265</v>
      </c>
      <c r="D888" t="s">
        <v>4266</v>
      </c>
      <c r="E888" t="s">
        <v>4267</v>
      </c>
      <c r="F888" t="s">
        <v>2360</v>
      </c>
      <c r="G888" t="s">
        <v>28</v>
      </c>
      <c r="H888" t="s">
        <v>28</v>
      </c>
      <c r="I888" t="s">
        <v>852</v>
      </c>
    </row>
    <row r="889" spans="1:9" ht="11.25" customHeight="1">
      <c r="A889" t="s">
        <v>2246</v>
      </c>
      <c r="B889" t="s">
        <v>16</v>
      </c>
      <c r="C889" t="s">
        <v>4268</v>
      </c>
      <c r="D889" t="s">
        <v>4269</v>
      </c>
      <c r="E889" t="s">
        <v>4270</v>
      </c>
      <c r="F889" t="s">
        <v>2286</v>
      </c>
      <c r="G889" t="s">
        <v>28</v>
      </c>
      <c r="H889" t="s">
        <v>28</v>
      </c>
      <c r="I889" t="s">
        <v>852</v>
      </c>
    </row>
    <row r="890" spans="1:9" ht="11.25" customHeight="1">
      <c r="A890" t="s">
        <v>2246</v>
      </c>
      <c r="B890" t="s">
        <v>16</v>
      </c>
      <c r="C890" t="s">
        <v>4271</v>
      </c>
      <c r="D890" t="s">
        <v>4272</v>
      </c>
      <c r="E890" t="s">
        <v>4273</v>
      </c>
      <c r="F890" t="s">
        <v>2352</v>
      </c>
      <c r="G890" t="s">
        <v>28</v>
      </c>
      <c r="H890" t="s">
        <v>28</v>
      </c>
      <c r="I890" t="s">
        <v>852</v>
      </c>
    </row>
    <row r="891" spans="1:9" ht="11.25" customHeight="1">
      <c r="A891" t="s">
        <v>2246</v>
      </c>
      <c r="B891" t="s">
        <v>16</v>
      </c>
      <c r="C891" t="s">
        <v>2835</v>
      </c>
      <c r="D891" t="s">
        <v>2836</v>
      </c>
      <c r="E891" t="s">
        <v>2837</v>
      </c>
      <c r="F891" t="s">
        <v>2347</v>
      </c>
      <c r="G891" t="s">
        <v>28</v>
      </c>
      <c r="H891" t="s">
        <v>28</v>
      </c>
      <c r="I891" t="s">
        <v>852</v>
      </c>
    </row>
    <row r="892" spans="1:9" ht="11.25" customHeight="1">
      <c r="A892" t="s">
        <v>2246</v>
      </c>
      <c r="B892" t="s">
        <v>16</v>
      </c>
      <c r="C892" t="s">
        <v>4274</v>
      </c>
      <c r="D892" t="s">
        <v>4275</v>
      </c>
      <c r="E892" t="s">
        <v>4276</v>
      </c>
      <c r="F892" t="s">
        <v>2360</v>
      </c>
      <c r="G892" t="s">
        <v>28</v>
      </c>
      <c r="H892" t="s">
        <v>28</v>
      </c>
      <c r="I892" t="s">
        <v>852</v>
      </c>
    </row>
    <row r="893" spans="1:9" ht="11.25" customHeight="1">
      <c r="A893" t="s">
        <v>2246</v>
      </c>
      <c r="B893" t="s">
        <v>16</v>
      </c>
      <c r="C893" t="s">
        <v>4277</v>
      </c>
      <c r="D893" t="s">
        <v>4278</v>
      </c>
      <c r="E893" t="s">
        <v>4279</v>
      </c>
      <c r="F893" t="s">
        <v>2400</v>
      </c>
      <c r="G893" t="s">
        <v>28</v>
      </c>
      <c r="H893" t="s">
        <v>28</v>
      </c>
      <c r="I893" t="s">
        <v>852</v>
      </c>
    </row>
    <row r="894" spans="1:9" ht="11.25" customHeight="1">
      <c r="A894" t="s">
        <v>2246</v>
      </c>
      <c r="B894" t="s">
        <v>16</v>
      </c>
      <c r="C894" t="s">
        <v>4280</v>
      </c>
      <c r="D894" t="s">
        <v>4281</v>
      </c>
      <c r="E894" t="s">
        <v>4282</v>
      </c>
      <c r="F894" t="s">
        <v>2574</v>
      </c>
      <c r="G894" t="s">
        <v>28</v>
      </c>
      <c r="H894" t="s">
        <v>28</v>
      </c>
      <c r="I894" t="s">
        <v>852</v>
      </c>
    </row>
    <row r="895" spans="1:9" ht="11.25" customHeight="1">
      <c r="A895" t="s">
        <v>2246</v>
      </c>
      <c r="B895" t="s">
        <v>16</v>
      </c>
      <c r="C895" t="s">
        <v>4283</v>
      </c>
      <c r="D895" t="s">
        <v>4284</v>
      </c>
      <c r="E895" t="s">
        <v>4285</v>
      </c>
      <c r="F895" t="s">
        <v>2347</v>
      </c>
      <c r="G895" t="s">
        <v>28</v>
      </c>
      <c r="H895" t="s">
        <v>28</v>
      </c>
      <c r="I895" t="s">
        <v>852</v>
      </c>
    </row>
    <row r="896" spans="1:9" ht="11.25" customHeight="1">
      <c r="A896" t="s">
        <v>2246</v>
      </c>
      <c r="B896" t="s">
        <v>16</v>
      </c>
      <c r="C896" t="s">
        <v>2838</v>
      </c>
      <c r="D896" t="s">
        <v>2839</v>
      </c>
      <c r="E896" t="s">
        <v>2840</v>
      </c>
      <c r="F896" t="s">
        <v>2295</v>
      </c>
      <c r="G896" t="s">
        <v>28</v>
      </c>
      <c r="H896" t="s">
        <v>28</v>
      </c>
      <c r="I896" t="s">
        <v>852</v>
      </c>
    </row>
    <row r="897" spans="1:9" ht="11.25" customHeight="1">
      <c r="A897" t="s">
        <v>2246</v>
      </c>
      <c r="B897" t="s">
        <v>16</v>
      </c>
      <c r="C897" t="s">
        <v>4286</v>
      </c>
      <c r="D897" t="s">
        <v>4287</v>
      </c>
      <c r="E897" t="s">
        <v>4288</v>
      </c>
      <c r="F897" t="s">
        <v>2295</v>
      </c>
      <c r="G897" t="s">
        <v>28</v>
      </c>
      <c r="H897" t="s">
        <v>28</v>
      </c>
      <c r="I897" t="s">
        <v>852</v>
      </c>
    </row>
    <row r="898" spans="1:9" ht="11.25" customHeight="1">
      <c r="A898" t="s">
        <v>2246</v>
      </c>
      <c r="B898" t="s">
        <v>16</v>
      </c>
      <c r="C898" t="s">
        <v>4289</v>
      </c>
      <c r="D898" t="s">
        <v>4290</v>
      </c>
      <c r="E898" t="s">
        <v>4291</v>
      </c>
      <c r="F898" t="s">
        <v>2687</v>
      </c>
      <c r="G898" t="s">
        <v>28</v>
      </c>
      <c r="H898" t="s">
        <v>28</v>
      </c>
      <c r="I898" t="s">
        <v>852</v>
      </c>
    </row>
    <row r="899" spans="1:9" ht="11.25" customHeight="1">
      <c r="A899" t="s">
        <v>2246</v>
      </c>
      <c r="B899" t="s">
        <v>16</v>
      </c>
      <c r="C899" t="s">
        <v>4292</v>
      </c>
      <c r="D899" t="s">
        <v>4293</v>
      </c>
      <c r="E899" t="s">
        <v>4294</v>
      </c>
      <c r="F899" t="s">
        <v>2264</v>
      </c>
      <c r="G899" t="s">
        <v>28</v>
      </c>
      <c r="H899" t="s">
        <v>28</v>
      </c>
      <c r="I899" t="s">
        <v>852</v>
      </c>
    </row>
    <row r="900" spans="1:9" ht="11.25" customHeight="1">
      <c r="A900" t="s">
        <v>2246</v>
      </c>
      <c r="B900" t="s">
        <v>16</v>
      </c>
      <c r="C900" t="s">
        <v>2847</v>
      </c>
      <c r="D900" t="s">
        <v>2848</v>
      </c>
      <c r="E900" t="s">
        <v>2849</v>
      </c>
      <c r="F900" t="s">
        <v>2295</v>
      </c>
      <c r="G900" t="s">
        <v>28</v>
      </c>
      <c r="H900" t="s">
        <v>28</v>
      </c>
      <c r="I900" t="s">
        <v>852</v>
      </c>
    </row>
    <row r="901" spans="1:9" ht="11.25" customHeight="1">
      <c r="A901" t="s">
        <v>2246</v>
      </c>
      <c r="B901" t="s">
        <v>16</v>
      </c>
      <c r="C901" t="s">
        <v>2850</v>
      </c>
      <c r="D901" t="s">
        <v>2851</v>
      </c>
      <c r="E901" t="s">
        <v>2852</v>
      </c>
      <c r="F901" t="s">
        <v>2295</v>
      </c>
      <c r="G901" t="s">
        <v>28</v>
      </c>
      <c r="H901" t="s">
        <v>28</v>
      </c>
      <c r="I901" t="s">
        <v>852</v>
      </c>
    </row>
    <row r="902" spans="1:9" ht="11.25" customHeight="1">
      <c r="A902" t="s">
        <v>2246</v>
      </c>
      <c r="B902" t="s">
        <v>16</v>
      </c>
      <c r="C902" t="s">
        <v>4295</v>
      </c>
      <c r="D902" t="s">
        <v>4296</v>
      </c>
      <c r="E902" t="s">
        <v>4297</v>
      </c>
      <c r="F902" t="s">
        <v>2295</v>
      </c>
      <c r="G902" t="s">
        <v>28</v>
      </c>
      <c r="H902" t="s">
        <v>28</v>
      </c>
      <c r="I902" t="s">
        <v>852</v>
      </c>
    </row>
    <row r="903" spans="1:9" ht="11.25" customHeight="1">
      <c r="A903" t="s">
        <v>2246</v>
      </c>
      <c r="B903" t="s">
        <v>16</v>
      </c>
      <c r="C903" t="s">
        <v>4298</v>
      </c>
      <c r="D903" t="s">
        <v>4299</v>
      </c>
      <c r="E903" t="s">
        <v>4300</v>
      </c>
      <c r="F903" t="s">
        <v>2264</v>
      </c>
      <c r="G903" t="s">
        <v>28</v>
      </c>
      <c r="H903" t="s">
        <v>28</v>
      </c>
      <c r="I903" t="s">
        <v>852</v>
      </c>
    </row>
    <row r="904" spans="1:9" ht="11.25" customHeight="1">
      <c r="A904" t="s">
        <v>2246</v>
      </c>
      <c r="B904" t="s">
        <v>16</v>
      </c>
      <c r="C904" t="s">
        <v>4301</v>
      </c>
      <c r="D904" t="s">
        <v>4302</v>
      </c>
      <c r="E904" t="s">
        <v>4303</v>
      </c>
      <c r="F904" t="s">
        <v>2264</v>
      </c>
      <c r="G904" t="s">
        <v>28</v>
      </c>
      <c r="H904" t="s">
        <v>28</v>
      </c>
      <c r="I904" t="s">
        <v>852</v>
      </c>
    </row>
    <row r="905" spans="1:9" ht="11.25" customHeight="1">
      <c r="A905" t="s">
        <v>2246</v>
      </c>
      <c r="B905" t="s">
        <v>16</v>
      </c>
      <c r="C905" t="s">
        <v>2874</v>
      </c>
      <c r="D905" t="s">
        <v>2875</v>
      </c>
      <c r="E905" t="s">
        <v>2876</v>
      </c>
      <c r="F905" t="s">
        <v>2347</v>
      </c>
      <c r="G905" t="s">
        <v>28</v>
      </c>
      <c r="H905" t="s">
        <v>28</v>
      </c>
      <c r="I905" t="s">
        <v>852</v>
      </c>
    </row>
    <row r="906" spans="1:9" ht="11.25" customHeight="1">
      <c r="A906" t="s">
        <v>2246</v>
      </c>
      <c r="B906" t="s">
        <v>16</v>
      </c>
      <c r="C906" t="s">
        <v>4304</v>
      </c>
      <c r="D906" t="s">
        <v>4305</v>
      </c>
      <c r="E906" t="s">
        <v>4306</v>
      </c>
      <c r="F906" t="s">
        <v>2582</v>
      </c>
      <c r="G906" t="s">
        <v>28</v>
      </c>
      <c r="H906" t="s">
        <v>28</v>
      </c>
      <c r="I906" t="s">
        <v>852</v>
      </c>
    </row>
    <row r="907" spans="1:9" ht="11.25" customHeight="1">
      <c r="A907" t="s">
        <v>2246</v>
      </c>
      <c r="B907" t="s">
        <v>16</v>
      </c>
      <c r="C907" t="s">
        <v>2877</v>
      </c>
      <c r="D907" t="s">
        <v>2878</v>
      </c>
      <c r="E907" t="s">
        <v>2879</v>
      </c>
      <c r="F907" t="s">
        <v>2400</v>
      </c>
      <c r="G907" t="s">
        <v>2880</v>
      </c>
      <c r="H907" t="s">
        <v>28</v>
      </c>
      <c r="I907" t="s">
        <v>852</v>
      </c>
    </row>
    <row r="908" spans="1:9" ht="11.25" customHeight="1">
      <c r="A908" t="s">
        <v>2246</v>
      </c>
      <c r="B908" t="s">
        <v>16</v>
      </c>
      <c r="C908" t="s">
        <v>4307</v>
      </c>
      <c r="D908" t="s">
        <v>4308</v>
      </c>
      <c r="E908" t="s">
        <v>4309</v>
      </c>
      <c r="F908" t="s">
        <v>2582</v>
      </c>
      <c r="G908" t="s">
        <v>28</v>
      </c>
      <c r="H908" t="s">
        <v>28</v>
      </c>
      <c r="I908" t="s">
        <v>852</v>
      </c>
    </row>
    <row r="909" spans="1:9" ht="11.25" customHeight="1">
      <c r="A909" t="s">
        <v>2246</v>
      </c>
      <c r="B909" t="s">
        <v>16</v>
      </c>
      <c r="C909" t="s">
        <v>4310</v>
      </c>
      <c r="D909" t="s">
        <v>4311</v>
      </c>
      <c r="E909" t="s">
        <v>4312</v>
      </c>
      <c r="F909" t="s">
        <v>2343</v>
      </c>
      <c r="G909" t="s">
        <v>28</v>
      </c>
      <c r="H909" t="s">
        <v>28</v>
      </c>
      <c r="I909" t="s">
        <v>852</v>
      </c>
    </row>
    <row r="910" spans="1:9" ht="11.25" customHeight="1">
      <c r="A910" t="s">
        <v>2246</v>
      </c>
      <c r="B910" t="s">
        <v>16</v>
      </c>
      <c r="C910" t="s">
        <v>2884</v>
      </c>
      <c r="D910" t="s">
        <v>2885</v>
      </c>
      <c r="E910" t="s">
        <v>2886</v>
      </c>
      <c r="F910" t="s">
        <v>2574</v>
      </c>
      <c r="G910" t="s">
        <v>28</v>
      </c>
      <c r="H910" t="s">
        <v>28</v>
      </c>
      <c r="I910" t="s">
        <v>852</v>
      </c>
    </row>
    <row r="911" spans="1:9" ht="11.25" customHeight="1">
      <c r="A911" t="s">
        <v>2246</v>
      </c>
      <c r="B911" t="s">
        <v>16</v>
      </c>
      <c r="C911" t="s">
        <v>4313</v>
      </c>
      <c r="D911" t="s">
        <v>4314</v>
      </c>
      <c r="E911" t="s">
        <v>4315</v>
      </c>
      <c r="F911" t="s">
        <v>2352</v>
      </c>
      <c r="G911" t="s">
        <v>28</v>
      </c>
      <c r="H911" t="s">
        <v>28</v>
      </c>
      <c r="I911" t="s">
        <v>852</v>
      </c>
    </row>
    <row r="912" spans="1:9" ht="11.25" customHeight="1">
      <c r="A912" t="s">
        <v>2246</v>
      </c>
      <c r="B912" t="s">
        <v>16</v>
      </c>
      <c r="C912" t="s">
        <v>2887</v>
      </c>
      <c r="D912" t="s">
        <v>2888</v>
      </c>
      <c r="E912" t="s">
        <v>2889</v>
      </c>
      <c r="F912" t="s">
        <v>2295</v>
      </c>
      <c r="G912" t="s">
        <v>28</v>
      </c>
      <c r="H912" t="s">
        <v>28</v>
      </c>
      <c r="I912" t="s">
        <v>852</v>
      </c>
    </row>
    <row r="913" spans="1:9" ht="11.25" customHeight="1">
      <c r="A913" t="s">
        <v>2246</v>
      </c>
      <c r="B913" t="s">
        <v>16</v>
      </c>
      <c r="C913" t="s">
        <v>4316</v>
      </c>
      <c r="D913" t="s">
        <v>4317</v>
      </c>
      <c r="E913" t="s">
        <v>4318</v>
      </c>
      <c r="F913" t="s">
        <v>3188</v>
      </c>
      <c r="G913" t="s">
        <v>28</v>
      </c>
      <c r="H913" t="s">
        <v>28</v>
      </c>
      <c r="I913" t="s">
        <v>852</v>
      </c>
    </row>
    <row r="914" spans="1:9" ht="11.25" customHeight="1">
      <c r="A914" t="s">
        <v>2246</v>
      </c>
      <c r="B914" t="s">
        <v>16</v>
      </c>
      <c r="C914" t="s">
        <v>4319</v>
      </c>
      <c r="D914" t="s">
        <v>4320</v>
      </c>
      <c r="E914" t="s">
        <v>4321</v>
      </c>
      <c r="F914" t="s">
        <v>2347</v>
      </c>
      <c r="G914" t="s">
        <v>28</v>
      </c>
      <c r="H914" t="s">
        <v>28</v>
      </c>
      <c r="I914" t="s">
        <v>852</v>
      </c>
    </row>
    <row r="915" spans="1:9" ht="11.25" customHeight="1">
      <c r="A915" t="s">
        <v>2246</v>
      </c>
      <c r="B915" t="s">
        <v>16</v>
      </c>
      <c r="C915" t="s">
        <v>4322</v>
      </c>
      <c r="D915" t="s">
        <v>4323</v>
      </c>
      <c r="E915" t="s">
        <v>4324</v>
      </c>
      <c r="F915" t="s">
        <v>2286</v>
      </c>
      <c r="G915" t="s">
        <v>28</v>
      </c>
      <c r="H915" t="s">
        <v>28</v>
      </c>
      <c r="I915" t="s">
        <v>852</v>
      </c>
    </row>
    <row r="916" spans="1:9" ht="11.25" customHeight="1">
      <c r="A916" t="s">
        <v>2246</v>
      </c>
      <c r="B916" t="s">
        <v>16</v>
      </c>
      <c r="C916" t="s">
        <v>2890</v>
      </c>
      <c r="D916" t="s">
        <v>2891</v>
      </c>
      <c r="E916" t="s">
        <v>2892</v>
      </c>
      <c r="F916" t="s">
        <v>2574</v>
      </c>
      <c r="G916" t="s">
        <v>28</v>
      </c>
      <c r="H916" t="s">
        <v>28</v>
      </c>
      <c r="I916" t="s">
        <v>852</v>
      </c>
    </row>
    <row r="917" spans="1:9" ht="11.25" customHeight="1">
      <c r="A917" t="s">
        <v>2246</v>
      </c>
      <c r="B917" t="s">
        <v>16</v>
      </c>
      <c r="C917" t="s">
        <v>4325</v>
      </c>
      <c r="D917" t="s">
        <v>4326</v>
      </c>
      <c r="E917" t="s">
        <v>4327</v>
      </c>
      <c r="F917" t="s">
        <v>2360</v>
      </c>
      <c r="G917" t="s">
        <v>28</v>
      </c>
      <c r="H917" t="s">
        <v>28</v>
      </c>
      <c r="I917" t="s">
        <v>852</v>
      </c>
    </row>
    <row r="918" spans="1:9" ht="11.25" customHeight="1">
      <c r="A918" t="s">
        <v>2246</v>
      </c>
      <c r="B918" t="s">
        <v>16</v>
      </c>
      <c r="C918" t="s">
        <v>4328</v>
      </c>
      <c r="D918" t="s">
        <v>4329</v>
      </c>
      <c r="E918" t="s">
        <v>4330</v>
      </c>
      <c r="F918" t="s">
        <v>2687</v>
      </c>
      <c r="G918" t="s">
        <v>28</v>
      </c>
      <c r="H918" t="s">
        <v>28</v>
      </c>
      <c r="I918" t="s">
        <v>852</v>
      </c>
    </row>
    <row r="919" spans="1:9" ht="11.25" customHeight="1">
      <c r="A919" t="s">
        <v>2246</v>
      </c>
      <c r="B919" t="s">
        <v>16</v>
      </c>
      <c r="C919" t="s">
        <v>2893</v>
      </c>
      <c r="D919" t="s">
        <v>2894</v>
      </c>
      <c r="E919" t="s">
        <v>2895</v>
      </c>
      <c r="F919" t="s">
        <v>2286</v>
      </c>
      <c r="G919" t="s">
        <v>28</v>
      </c>
      <c r="H919" t="s">
        <v>28</v>
      </c>
      <c r="I919" t="s">
        <v>852</v>
      </c>
    </row>
    <row r="920" spans="1:9" ht="11.25" customHeight="1">
      <c r="A920" t="s">
        <v>2246</v>
      </c>
      <c r="B920" t="s">
        <v>16</v>
      </c>
      <c r="C920" t="s">
        <v>2896</v>
      </c>
      <c r="D920" t="s">
        <v>2897</v>
      </c>
      <c r="E920" t="s">
        <v>2898</v>
      </c>
      <c r="F920" t="s">
        <v>2268</v>
      </c>
      <c r="G920" t="s">
        <v>28</v>
      </c>
      <c r="H920" t="s">
        <v>28</v>
      </c>
      <c r="I920" t="s">
        <v>852</v>
      </c>
    </row>
    <row r="921" spans="1:9" ht="11.25" customHeight="1">
      <c r="A921" t="s">
        <v>2246</v>
      </c>
      <c r="B921" t="s">
        <v>16</v>
      </c>
      <c r="C921" t="s">
        <v>4331</v>
      </c>
      <c r="D921" t="s">
        <v>4332</v>
      </c>
      <c r="E921" t="s">
        <v>4333</v>
      </c>
      <c r="F921" t="s">
        <v>2268</v>
      </c>
      <c r="G921" t="s">
        <v>28</v>
      </c>
      <c r="H921" t="s">
        <v>28</v>
      </c>
      <c r="I921" t="s">
        <v>852</v>
      </c>
    </row>
    <row r="922" spans="1:9" ht="11.25" customHeight="1">
      <c r="A922" t="s">
        <v>2246</v>
      </c>
      <c r="B922" t="s">
        <v>16</v>
      </c>
      <c r="C922" t="s">
        <v>4334</v>
      </c>
      <c r="D922" t="s">
        <v>4335</v>
      </c>
      <c r="E922" t="s">
        <v>4336</v>
      </c>
      <c r="F922" t="s">
        <v>2295</v>
      </c>
      <c r="G922" t="s">
        <v>28</v>
      </c>
      <c r="H922" t="s">
        <v>28</v>
      </c>
      <c r="I922" t="s">
        <v>852</v>
      </c>
    </row>
    <row r="923" spans="1:9" ht="11.25" customHeight="1">
      <c r="A923" t="s">
        <v>2246</v>
      </c>
      <c r="B923" t="s">
        <v>16</v>
      </c>
      <c r="C923" t="s">
        <v>2911</v>
      </c>
      <c r="D923" t="s">
        <v>2912</v>
      </c>
      <c r="E923" t="s">
        <v>2913</v>
      </c>
      <c r="F923" t="s">
        <v>2687</v>
      </c>
      <c r="G923" t="s">
        <v>2914</v>
      </c>
      <c r="H923" t="s">
        <v>28</v>
      </c>
      <c r="I923" t="s">
        <v>852</v>
      </c>
    </row>
    <row r="924" spans="1:9" ht="11.25" customHeight="1">
      <c r="A924" t="s">
        <v>2246</v>
      </c>
      <c r="B924" t="s">
        <v>16</v>
      </c>
      <c r="C924" t="s">
        <v>2915</v>
      </c>
      <c r="D924" t="s">
        <v>2916</v>
      </c>
      <c r="E924" t="s">
        <v>2917</v>
      </c>
      <c r="F924" t="s">
        <v>2687</v>
      </c>
      <c r="G924" t="s">
        <v>2918</v>
      </c>
      <c r="H924" t="s">
        <v>28</v>
      </c>
      <c r="I924" t="s">
        <v>852</v>
      </c>
    </row>
    <row r="925" spans="1:9" ht="11.25" customHeight="1">
      <c r="A925" t="s">
        <v>2246</v>
      </c>
      <c r="B925" t="s">
        <v>16</v>
      </c>
      <c r="C925" t="s">
        <v>2919</v>
      </c>
      <c r="D925" t="s">
        <v>2920</v>
      </c>
      <c r="E925" t="s">
        <v>2921</v>
      </c>
      <c r="F925" t="s">
        <v>2687</v>
      </c>
      <c r="G925" t="s">
        <v>2922</v>
      </c>
      <c r="H925" t="s">
        <v>28</v>
      </c>
      <c r="I925" t="s">
        <v>852</v>
      </c>
    </row>
    <row r="926" spans="1:9" ht="11.25" customHeight="1">
      <c r="A926" t="s">
        <v>2246</v>
      </c>
      <c r="B926" t="s">
        <v>16</v>
      </c>
      <c r="C926" t="s">
        <v>2923</v>
      </c>
      <c r="D926" t="s">
        <v>2924</v>
      </c>
      <c r="E926" t="s">
        <v>2925</v>
      </c>
      <c r="F926" t="s">
        <v>2687</v>
      </c>
      <c r="G926" t="s">
        <v>2926</v>
      </c>
      <c r="H926" t="s">
        <v>28</v>
      </c>
      <c r="I926" t="s">
        <v>852</v>
      </c>
    </row>
    <row r="927" spans="1:9" ht="11.25" customHeight="1">
      <c r="A927" t="s">
        <v>2246</v>
      </c>
      <c r="B927" t="s">
        <v>16</v>
      </c>
      <c r="C927" t="s">
        <v>2927</v>
      </c>
      <c r="D927" t="s">
        <v>2928</v>
      </c>
      <c r="E927" t="s">
        <v>2929</v>
      </c>
      <c r="F927" t="s">
        <v>2687</v>
      </c>
      <c r="G927" t="s">
        <v>28</v>
      </c>
      <c r="H927" t="s">
        <v>28</v>
      </c>
      <c r="I927" t="s">
        <v>852</v>
      </c>
    </row>
    <row r="928" spans="1:9" ht="11.25" customHeight="1">
      <c r="A928" t="s">
        <v>2246</v>
      </c>
      <c r="B928" t="s">
        <v>16</v>
      </c>
      <c r="C928" t="s">
        <v>2939</v>
      </c>
      <c r="D928" t="s">
        <v>2940</v>
      </c>
      <c r="E928" t="s">
        <v>2941</v>
      </c>
      <c r="F928" t="s">
        <v>2347</v>
      </c>
      <c r="G928" t="s">
        <v>2942</v>
      </c>
      <c r="H928" t="s">
        <v>28</v>
      </c>
      <c r="I928" t="s">
        <v>852</v>
      </c>
    </row>
    <row r="929" spans="1:9" ht="11.25" customHeight="1">
      <c r="A929" t="s">
        <v>2246</v>
      </c>
      <c r="B929" t="s">
        <v>16</v>
      </c>
      <c r="C929" t="s">
        <v>4337</v>
      </c>
      <c r="D929" t="s">
        <v>4338</v>
      </c>
      <c r="E929" t="s">
        <v>4339</v>
      </c>
      <c r="F929" t="s">
        <v>2400</v>
      </c>
      <c r="G929" t="s">
        <v>28</v>
      </c>
      <c r="H929" t="s">
        <v>28</v>
      </c>
      <c r="I929" t="s">
        <v>852</v>
      </c>
    </row>
    <row r="930" spans="1:9" ht="11.25" customHeight="1">
      <c r="A930" t="s">
        <v>2246</v>
      </c>
      <c r="B930" t="s">
        <v>16</v>
      </c>
      <c r="C930" t="s">
        <v>2946</v>
      </c>
      <c r="D930" t="s">
        <v>2947</v>
      </c>
      <c r="E930" t="s">
        <v>2948</v>
      </c>
      <c r="F930" t="s">
        <v>2347</v>
      </c>
      <c r="G930" t="s">
        <v>28</v>
      </c>
      <c r="H930" t="s">
        <v>28</v>
      </c>
      <c r="I930" t="s">
        <v>852</v>
      </c>
    </row>
    <row r="931" spans="1:9" ht="11.25" customHeight="1">
      <c r="A931" t="s">
        <v>2246</v>
      </c>
      <c r="B931" t="s">
        <v>16</v>
      </c>
      <c r="C931" t="s">
        <v>4340</v>
      </c>
      <c r="D931" t="s">
        <v>4341</v>
      </c>
      <c r="E931" t="s">
        <v>4342</v>
      </c>
      <c r="F931" t="s">
        <v>2687</v>
      </c>
      <c r="G931" t="s">
        <v>28</v>
      </c>
      <c r="H931" t="s">
        <v>28</v>
      </c>
      <c r="I931" t="s">
        <v>852</v>
      </c>
    </row>
    <row r="932" spans="1:9" ht="11.25" customHeight="1">
      <c r="A932" t="s">
        <v>2246</v>
      </c>
      <c r="B932" t="s">
        <v>16</v>
      </c>
      <c r="C932" t="s">
        <v>2949</v>
      </c>
      <c r="D932" t="s">
        <v>2950</v>
      </c>
      <c r="E932" t="s">
        <v>2951</v>
      </c>
      <c r="F932" t="s">
        <v>2250</v>
      </c>
      <c r="G932" t="s">
        <v>2952</v>
      </c>
      <c r="H932" t="s">
        <v>28</v>
      </c>
      <c r="I932" t="s">
        <v>852</v>
      </c>
    </row>
    <row r="933" spans="1:9" ht="11.25" customHeight="1">
      <c r="A933" t="s">
        <v>2246</v>
      </c>
      <c r="B933" t="s">
        <v>16</v>
      </c>
      <c r="C933" t="s">
        <v>4343</v>
      </c>
      <c r="D933" t="s">
        <v>4344</v>
      </c>
      <c r="E933" t="s">
        <v>4345</v>
      </c>
      <c r="F933" t="s">
        <v>2582</v>
      </c>
      <c r="G933" t="s">
        <v>28</v>
      </c>
      <c r="H933" t="s">
        <v>28</v>
      </c>
      <c r="I933" t="s">
        <v>852</v>
      </c>
    </row>
    <row r="934" spans="1:9" ht="11.25" customHeight="1">
      <c r="A934" t="s">
        <v>2246</v>
      </c>
      <c r="B934" t="s">
        <v>16</v>
      </c>
      <c r="C934" t="s">
        <v>4346</v>
      </c>
      <c r="D934" t="s">
        <v>4347</v>
      </c>
      <c r="E934" t="s">
        <v>4348</v>
      </c>
      <c r="F934" t="s">
        <v>2352</v>
      </c>
      <c r="G934" t="s">
        <v>4349</v>
      </c>
      <c r="H934" t="s">
        <v>28</v>
      </c>
      <c r="I934" t="s">
        <v>852</v>
      </c>
    </row>
    <row r="935" spans="1:9" ht="11.25" customHeight="1">
      <c r="A935" t="s">
        <v>2246</v>
      </c>
      <c r="B935" t="s">
        <v>16</v>
      </c>
      <c r="C935" t="s">
        <v>4350</v>
      </c>
      <c r="D935" t="s">
        <v>4351</v>
      </c>
      <c r="E935" t="s">
        <v>4352</v>
      </c>
      <c r="F935" t="s">
        <v>2343</v>
      </c>
      <c r="G935" t="s">
        <v>4353</v>
      </c>
      <c r="H935" t="s">
        <v>28</v>
      </c>
      <c r="I935" t="s">
        <v>852</v>
      </c>
    </row>
    <row r="936" spans="1:9" ht="11.25" customHeight="1">
      <c r="A936" t="s">
        <v>2246</v>
      </c>
      <c r="B936" t="s">
        <v>16</v>
      </c>
      <c r="C936" t="s">
        <v>2953</v>
      </c>
      <c r="D936" t="s">
        <v>2954</v>
      </c>
      <c r="E936" t="s">
        <v>2955</v>
      </c>
      <c r="F936" t="s">
        <v>2264</v>
      </c>
      <c r="G936" t="s">
        <v>2956</v>
      </c>
      <c r="H936" t="s">
        <v>28</v>
      </c>
      <c r="I936" t="s">
        <v>852</v>
      </c>
    </row>
    <row r="937" spans="1:9" ht="11.25" customHeight="1">
      <c r="A937" t="s">
        <v>2246</v>
      </c>
      <c r="B937" t="s">
        <v>16</v>
      </c>
      <c r="C937" t="s">
        <v>2957</v>
      </c>
      <c r="D937" t="s">
        <v>2958</v>
      </c>
      <c r="E937" t="s">
        <v>2959</v>
      </c>
      <c r="F937" t="s">
        <v>2582</v>
      </c>
      <c r="G937" t="s">
        <v>28</v>
      </c>
      <c r="H937" t="s">
        <v>28</v>
      </c>
      <c r="I937" t="s">
        <v>852</v>
      </c>
    </row>
    <row r="938" spans="1:9" ht="11.25" customHeight="1">
      <c r="A938" t="s">
        <v>2246</v>
      </c>
      <c r="B938" t="s">
        <v>16</v>
      </c>
      <c r="C938" t="s">
        <v>4354</v>
      </c>
      <c r="D938" t="s">
        <v>4355</v>
      </c>
      <c r="E938" t="s">
        <v>4356</v>
      </c>
      <c r="F938" t="s">
        <v>2582</v>
      </c>
      <c r="G938" t="s">
        <v>4357</v>
      </c>
      <c r="H938" t="s">
        <v>28</v>
      </c>
      <c r="I938" t="s">
        <v>852</v>
      </c>
    </row>
    <row r="939" spans="1:9" ht="11.25" customHeight="1">
      <c r="A939" t="s">
        <v>2246</v>
      </c>
      <c r="B939" t="s">
        <v>16</v>
      </c>
      <c r="C939" t="s">
        <v>4358</v>
      </c>
      <c r="D939" t="s">
        <v>4359</v>
      </c>
      <c r="E939" t="s">
        <v>4360</v>
      </c>
      <c r="F939" t="s">
        <v>2352</v>
      </c>
      <c r="G939" t="s">
        <v>4361</v>
      </c>
      <c r="H939" t="s">
        <v>28</v>
      </c>
      <c r="I939" t="s">
        <v>852</v>
      </c>
    </row>
    <row r="940" spans="1:9" ht="11.25" customHeight="1">
      <c r="A940" t="s">
        <v>2246</v>
      </c>
      <c r="B940" t="s">
        <v>16</v>
      </c>
      <c r="C940" t="s">
        <v>2960</v>
      </c>
      <c r="D940" t="s">
        <v>2961</v>
      </c>
      <c r="E940" t="s">
        <v>2962</v>
      </c>
      <c r="F940" t="s">
        <v>2295</v>
      </c>
      <c r="G940" t="s">
        <v>2963</v>
      </c>
      <c r="H940" t="s">
        <v>28</v>
      </c>
      <c r="I940" t="s">
        <v>852</v>
      </c>
    </row>
    <row r="941" spans="1:9" ht="11.25" customHeight="1">
      <c r="A941" t="s">
        <v>2246</v>
      </c>
      <c r="B941" t="s">
        <v>16</v>
      </c>
      <c r="C941" t="s">
        <v>2964</v>
      </c>
      <c r="D941" t="s">
        <v>2965</v>
      </c>
      <c r="E941" t="s">
        <v>2966</v>
      </c>
      <c r="F941" t="s">
        <v>2347</v>
      </c>
      <c r="G941" t="s">
        <v>2967</v>
      </c>
      <c r="H941" t="s">
        <v>28</v>
      </c>
      <c r="I941" t="s">
        <v>852</v>
      </c>
    </row>
    <row r="942" spans="1:9" ht="11.25" customHeight="1">
      <c r="A942" t="s">
        <v>2246</v>
      </c>
      <c r="B942" t="s">
        <v>16</v>
      </c>
      <c r="C942" t="s">
        <v>2976</v>
      </c>
      <c r="D942" t="s">
        <v>2977</v>
      </c>
      <c r="E942" t="s">
        <v>2978</v>
      </c>
      <c r="F942" t="s">
        <v>2286</v>
      </c>
      <c r="G942" t="s">
        <v>28</v>
      </c>
      <c r="H942" t="s">
        <v>28</v>
      </c>
      <c r="I942" t="s">
        <v>852</v>
      </c>
    </row>
    <row r="943" spans="1:9" ht="11.25" customHeight="1">
      <c r="A943" t="s">
        <v>2246</v>
      </c>
      <c r="B943" t="s">
        <v>16</v>
      </c>
      <c r="C943" t="s">
        <v>2979</v>
      </c>
      <c r="D943" t="s">
        <v>2980</v>
      </c>
      <c r="E943" t="s">
        <v>2981</v>
      </c>
      <c r="F943" t="s">
        <v>2352</v>
      </c>
      <c r="G943" t="s">
        <v>28</v>
      </c>
      <c r="H943" t="s">
        <v>28</v>
      </c>
      <c r="I943" t="s">
        <v>852</v>
      </c>
    </row>
    <row r="944" spans="1:9" ht="11.25" customHeight="1">
      <c r="A944" t="s">
        <v>2246</v>
      </c>
      <c r="B944" t="s">
        <v>16</v>
      </c>
      <c r="C944" t="s">
        <v>2982</v>
      </c>
      <c r="D944" t="s">
        <v>2983</v>
      </c>
      <c r="E944" t="s">
        <v>2984</v>
      </c>
      <c r="F944" t="s">
        <v>2352</v>
      </c>
      <c r="G944" t="s">
        <v>2985</v>
      </c>
      <c r="H944" t="s">
        <v>28</v>
      </c>
      <c r="I944" t="s">
        <v>852</v>
      </c>
    </row>
    <row r="945" spans="1:9" ht="11.25" customHeight="1">
      <c r="A945" t="s">
        <v>2246</v>
      </c>
      <c r="B945" t="s">
        <v>16</v>
      </c>
      <c r="C945" t="s">
        <v>2986</v>
      </c>
      <c r="D945" t="s">
        <v>2987</v>
      </c>
      <c r="E945" t="s">
        <v>2988</v>
      </c>
      <c r="F945" t="s">
        <v>2989</v>
      </c>
      <c r="G945" t="s">
        <v>2990</v>
      </c>
      <c r="H945" t="s">
        <v>28</v>
      </c>
      <c r="I945" t="s">
        <v>852</v>
      </c>
    </row>
    <row r="946" spans="1:9" ht="11.25" customHeight="1">
      <c r="A946" t="s">
        <v>2246</v>
      </c>
      <c r="B946" t="s">
        <v>16</v>
      </c>
      <c r="C946" t="s">
        <v>2991</v>
      </c>
      <c r="D946" t="s">
        <v>2992</v>
      </c>
      <c r="E946" t="s">
        <v>2993</v>
      </c>
      <c r="F946" t="s">
        <v>2687</v>
      </c>
      <c r="G946" t="s">
        <v>28</v>
      </c>
      <c r="H946" t="s">
        <v>28</v>
      </c>
      <c r="I946" t="s">
        <v>852</v>
      </c>
    </row>
    <row r="947" spans="1:9" ht="11.25" customHeight="1">
      <c r="A947" t="s">
        <v>2246</v>
      </c>
      <c r="B947" t="s">
        <v>16</v>
      </c>
      <c r="C947" t="s">
        <v>2994</v>
      </c>
      <c r="D947" t="s">
        <v>2995</v>
      </c>
      <c r="E947" t="s">
        <v>2996</v>
      </c>
      <c r="F947" t="s">
        <v>2352</v>
      </c>
      <c r="G947" t="s">
        <v>28</v>
      </c>
      <c r="H947" t="s">
        <v>28</v>
      </c>
      <c r="I947" t="s">
        <v>852</v>
      </c>
    </row>
    <row r="948" spans="1:9" ht="11.25" customHeight="1">
      <c r="A948" t="s">
        <v>2246</v>
      </c>
      <c r="B948" t="s">
        <v>16</v>
      </c>
      <c r="C948" t="s">
        <v>2997</v>
      </c>
      <c r="D948" t="s">
        <v>2998</v>
      </c>
      <c r="E948" t="s">
        <v>2999</v>
      </c>
      <c r="F948" t="s">
        <v>2286</v>
      </c>
      <c r="G948" t="s">
        <v>3000</v>
      </c>
      <c r="H948" t="s">
        <v>28</v>
      </c>
      <c r="I948" t="s">
        <v>852</v>
      </c>
    </row>
    <row r="949" spans="1:9" ht="11.25" customHeight="1">
      <c r="A949" t="s">
        <v>2246</v>
      </c>
      <c r="B949" t="s">
        <v>16</v>
      </c>
      <c r="C949" t="s">
        <v>3005</v>
      </c>
      <c r="D949" t="s">
        <v>3006</v>
      </c>
      <c r="E949" t="s">
        <v>3007</v>
      </c>
      <c r="F949" t="s">
        <v>2582</v>
      </c>
      <c r="G949" t="s">
        <v>3008</v>
      </c>
      <c r="H949" t="s">
        <v>28</v>
      </c>
      <c r="I949" t="s">
        <v>852</v>
      </c>
    </row>
    <row r="950" spans="1:9" ht="11.25" customHeight="1">
      <c r="A950" t="s">
        <v>2246</v>
      </c>
      <c r="B950" t="s">
        <v>16</v>
      </c>
      <c r="C950" t="s">
        <v>3009</v>
      </c>
      <c r="D950" t="s">
        <v>3010</v>
      </c>
      <c r="E950" t="s">
        <v>3011</v>
      </c>
      <c r="F950" t="s">
        <v>2687</v>
      </c>
      <c r="G950" t="s">
        <v>3012</v>
      </c>
      <c r="H950" t="s">
        <v>28</v>
      </c>
      <c r="I950" t="s">
        <v>852</v>
      </c>
    </row>
    <row r="951" spans="1:9" ht="11.25" customHeight="1">
      <c r="A951" t="s">
        <v>2246</v>
      </c>
      <c r="B951" t="s">
        <v>16</v>
      </c>
      <c r="C951" t="s">
        <v>3013</v>
      </c>
      <c r="D951" t="s">
        <v>3014</v>
      </c>
      <c r="E951" t="s">
        <v>3015</v>
      </c>
      <c r="F951" t="s">
        <v>2264</v>
      </c>
      <c r="G951" t="s">
        <v>3016</v>
      </c>
      <c r="H951" t="s">
        <v>28</v>
      </c>
      <c r="I951" t="s">
        <v>852</v>
      </c>
    </row>
    <row r="952" spans="1:9" ht="11.25" customHeight="1">
      <c r="A952" t="s">
        <v>2246</v>
      </c>
      <c r="B952" t="s">
        <v>16</v>
      </c>
      <c r="C952" t="s">
        <v>4362</v>
      </c>
      <c r="D952" t="s">
        <v>4363</v>
      </c>
      <c r="E952" t="s">
        <v>4364</v>
      </c>
      <c r="F952" t="s">
        <v>2400</v>
      </c>
      <c r="G952" t="s">
        <v>28</v>
      </c>
      <c r="H952" t="s">
        <v>28</v>
      </c>
      <c r="I952" t="s">
        <v>852</v>
      </c>
    </row>
    <row r="953" spans="1:9" ht="11.25" customHeight="1">
      <c r="A953" t="s">
        <v>2246</v>
      </c>
      <c r="B953" t="s">
        <v>16</v>
      </c>
      <c r="C953" t="s">
        <v>3017</v>
      </c>
      <c r="D953" t="s">
        <v>3018</v>
      </c>
      <c r="E953" t="s">
        <v>3019</v>
      </c>
      <c r="F953" t="s">
        <v>2286</v>
      </c>
      <c r="G953" t="s">
        <v>28</v>
      </c>
      <c r="H953" t="s">
        <v>28</v>
      </c>
      <c r="I953" t="s">
        <v>852</v>
      </c>
    </row>
    <row r="954" spans="1:9" ht="11.25" customHeight="1">
      <c r="A954" t="s">
        <v>2246</v>
      </c>
      <c r="B954" t="s">
        <v>16</v>
      </c>
      <c r="C954" t="s">
        <v>3020</v>
      </c>
      <c r="D954" t="s">
        <v>3021</v>
      </c>
      <c r="E954" t="s">
        <v>3022</v>
      </c>
      <c r="F954" t="s">
        <v>2347</v>
      </c>
      <c r="G954" t="s">
        <v>28</v>
      </c>
      <c r="H954" t="s">
        <v>28</v>
      </c>
      <c r="I954" t="s">
        <v>852</v>
      </c>
    </row>
    <row r="955" spans="1:9" ht="11.25" customHeight="1">
      <c r="A955" t="s">
        <v>2246</v>
      </c>
      <c r="B955" t="s">
        <v>16</v>
      </c>
      <c r="C955" t="s">
        <v>3023</v>
      </c>
      <c r="D955" t="s">
        <v>3024</v>
      </c>
      <c r="E955" t="s">
        <v>3025</v>
      </c>
      <c r="F955" t="s">
        <v>3026</v>
      </c>
      <c r="G955" t="s">
        <v>28</v>
      </c>
      <c r="H955" t="s">
        <v>28</v>
      </c>
      <c r="I955" t="s">
        <v>852</v>
      </c>
    </row>
    <row r="956" spans="1:9" ht="11.25" customHeight="1">
      <c r="A956" t="s">
        <v>2246</v>
      </c>
      <c r="B956" t="s">
        <v>16</v>
      </c>
      <c r="C956" t="s">
        <v>4365</v>
      </c>
      <c r="D956" t="s">
        <v>4366</v>
      </c>
      <c r="E956" t="s">
        <v>4367</v>
      </c>
      <c r="F956" t="s">
        <v>2687</v>
      </c>
      <c r="G956" t="s">
        <v>28</v>
      </c>
      <c r="H956" t="s">
        <v>28</v>
      </c>
      <c r="I956" t="s">
        <v>852</v>
      </c>
    </row>
    <row r="957" spans="1:9" ht="11.25" customHeight="1">
      <c r="A957" t="s">
        <v>2246</v>
      </c>
      <c r="B957" t="s">
        <v>16</v>
      </c>
      <c r="C957" t="s">
        <v>3031</v>
      </c>
      <c r="D957" t="s">
        <v>3032</v>
      </c>
      <c r="E957" t="s">
        <v>3033</v>
      </c>
      <c r="F957" t="s">
        <v>2264</v>
      </c>
      <c r="G957" t="s">
        <v>3034</v>
      </c>
      <c r="H957" t="s">
        <v>28</v>
      </c>
      <c r="I957" t="s">
        <v>852</v>
      </c>
    </row>
    <row r="958" spans="1:9" ht="11.25" customHeight="1">
      <c r="A958" t="s">
        <v>2246</v>
      </c>
      <c r="B958" t="s">
        <v>16</v>
      </c>
      <c r="C958" t="s">
        <v>3039</v>
      </c>
      <c r="D958" t="s">
        <v>3040</v>
      </c>
      <c r="E958" t="s">
        <v>3041</v>
      </c>
      <c r="F958" t="s">
        <v>2295</v>
      </c>
      <c r="G958" t="s">
        <v>3042</v>
      </c>
      <c r="H958" t="s">
        <v>28</v>
      </c>
      <c r="I958" t="s">
        <v>852</v>
      </c>
    </row>
    <row r="959" spans="1:9" ht="11.25" customHeight="1">
      <c r="A959" t="s">
        <v>2246</v>
      </c>
      <c r="B959" t="s">
        <v>16</v>
      </c>
      <c r="C959" t="s">
        <v>3043</v>
      </c>
      <c r="D959" t="s">
        <v>3044</v>
      </c>
      <c r="E959" t="s">
        <v>3045</v>
      </c>
      <c r="F959" t="s">
        <v>2286</v>
      </c>
      <c r="G959" t="s">
        <v>3046</v>
      </c>
      <c r="H959" t="s">
        <v>28</v>
      </c>
      <c r="I959" t="s">
        <v>852</v>
      </c>
    </row>
    <row r="960" spans="1:9" ht="11.25" customHeight="1">
      <c r="A960" t="s">
        <v>2246</v>
      </c>
      <c r="B960" t="s">
        <v>16</v>
      </c>
      <c r="C960" t="s">
        <v>3047</v>
      </c>
      <c r="D960" t="s">
        <v>3048</v>
      </c>
      <c r="E960" t="s">
        <v>3049</v>
      </c>
      <c r="F960" t="s">
        <v>2286</v>
      </c>
      <c r="G960" t="s">
        <v>3004</v>
      </c>
      <c r="H960" t="s">
        <v>28</v>
      </c>
      <c r="I960" t="s">
        <v>852</v>
      </c>
    </row>
    <row r="961" spans="1:9" ht="11.25" customHeight="1">
      <c r="A961" t="s">
        <v>2246</v>
      </c>
      <c r="B961" t="s">
        <v>16</v>
      </c>
      <c r="C961" t="s">
        <v>3050</v>
      </c>
      <c r="D961" t="s">
        <v>3051</v>
      </c>
      <c r="E961" t="s">
        <v>3052</v>
      </c>
      <c r="F961" t="s">
        <v>2295</v>
      </c>
      <c r="G961" t="s">
        <v>28</v>
      </c>
      <c r="H961" t="s">
        <v>28</v>
      </c>
      <c r="I961" t="s">
        <v>852</v>
      </c>
    </row>
    <row r="962" spans="1:9" ht="11.25" customHeight="1">
      <c r="A962" t="s">
        <v>2246</v>
      </c>
      <c r="B962" t="s">
        <v>16</v>
      </c>
      <c r="C962" t="s">
        <v>3053</v>
      </c>
      <c r="D962" t="s">
        <v>3054</v>
      </c>
      <c r="E962" t="s">
        <v>3055</v>
      </c>
      <c r="F962" t="s">
        <v>2352</v>
      </c>
      <c r="G962" t="s">
        <v>3056</v>
      </c>
      <c r="H962" t="s">
        <v>28</v>
      </c>
      <c r="I962" t="s">
        <v>852</v>
      </c>
    </row>
    <row r="963" spans="1:9" ht="11.25" customHeight="1">
      <c r="A963" t="s">
        <v>2246</v>
      </c>
      <c r="B963" t="s">
        <v>16</v>
      </c>
      <c r="C963" t="s">
        <v>3068</v>
      </c>
      <c r="D963" t="s">
        <v>3069</v>
      </c>
      <c r="E963" t="s">
        <v>3070</v>
      </c>
      <c r="F963" t="s">
        <v>2400</v>
      </c>
      <c r="G963" t="s">
        <v>3071</v>
      </c>
      <c r="H963" t="s">
        <v>28</v>
      </c>
      <c r="I963" t="s">
        <v>852</v>
      </c>
    </row>
    <row r="964" spans="1:9" ht="11.25" customHeight="1">
      <c r="A964" t="s">
        <v>2246</v>
      </c>
      <c r="B964" t="s">
        <v>16</v>
      </c>
      <c r="C964" t="s">
        <v>3072</v>
      </c>
      <c r="D964" t="s">
        <v>3073</v>
      </c>
      <c r="E964" t="s">
        <v>3074</v>
      </c>
      <c r="F964" t="s">
        <v>2264</v>
      </c>
      <c r="G964" t="s">
        <v>3075</v>
      </c>
      <c r="H964" t="s">
        <v>28</v>
      </c>
      <c r="I964" t="s">
        <v>852</v>
      </c>
    </row>
    <row r="965" spans="1:9" ht="11.25" customHeight="1">
      <c r="A965" t="s">
        <v>2246</v>
      </c>
      <c r="B965" t="s">
        <v>16</v>
      </c>
      <c r="C965" t="s">
        <v>3076</v>
      </c>
      <c r="D965" t="s">
        <v>3077</v>
      </c>
      <c r="E965" t="s">
        <v>3078</v>
      </c>
      <c r="F965" t="s">
        <v>2352</v>
      </c>
      <c r="G965" t="s">
        <v>3079</v>
      </c>
      <c r="H965" t="s">
        <v>28</v>
      </c>
      <c r="I965" t="s">
        <v>852</v>
      </c>
    </row>
    <row r="966" spans="1:9" ht="11.25" customHeight="1">
      <c r="A966" t="s">
        <v>2246</v>
      </c>
      <c r="B966" t="s">
        <v>16</v>
      </c>
      <c r="C966" t="s">
        <v>3080</v>
      </c>
      <c r="D966" t="s">
        <v>3081</v>
      </c>
      <c r="E966" t="s">
        <v>3082</v>
      </c>
      <c r="F966" t="s">
        <v>2352</v>
      </c>
      <c r="G966" t="s">
        <v>3083</v>
      </c>
      <c r="H966" t="s">
        <v>28</v>
      </c>
      <c r="I966" t="s">
        <v>852</v>
      </c>
    </row>
    <row r="967" spans="1:9" ht="11.25" customHeight="1">
      <c r="A967" t="s">
        <v>2246</v>
      </c>
      <c r="B967" t="s">
        <v>16</v>
      </c>
      <c r="C967" t="s">
        <v>4368</v>
      </c>
      <c r="D967" t="s">
        <v>4369</v>
      </c>
      <c r="E967" t="s">
        <v>4370</v>
      </c>
      <c r="F967" t="s">
        <v>2360</v>
      </c>
      <c r="G967" t="s">
        <v>28</v>
      </c>
      <c r="H967" t="s">
        <v>28</v>
      </c>
      <c r="I967" t="s">
        <v>852</v>
      </c>
    </row>
    <row r="968" spans="1:9" ht="11.25" customHeight="1">
      <c r="A968" t="s">
        <v>2246</v>
      </c>
      <c r="B968" t="s">
        <v>16</v>
      </c>
      <c r="C968" t="s">
        <v>4371</v>
      </c>
      <c r="D968" t="s">
        <v>4372</v>
      </c>
      <c r="E968" t="s">
        <v>4373</v>
      </c>
      <c r="F968" t="s">
        <v>2332</v>
      </c>
      <c r="G968" t="s">
        <v>28</v>
      </c>
      <c r="H968" t="s">
        <v>28</v>
      </c>
      <c r="I968" t="s">
        <v>852</v>
      </c>
    </row>
    <row r="969" spans="1:9" ht="11.25" customHeight="1">
      <c r="A969" t="s">
        <v>2246</v>
      </c>
      <c r="B969" t="s">
        <v>16</v>
      </c>
      <c r="C969" t="s">
        <v>3084</v>
      </c>
      <c r="D969" t="s">
        <v>3085</v>
      </c>
      <c r="E969" t="s">
        <v>3086</v>
      </c>
      <c r="F969" t="s">
        <v>2687</v>
      </c>
      <c r="G969" t="s">
        <v>28</v>
      </c>
      <c r="H969" t="s">
        <v>28</v>
      </c>
      <c r="I969" t="s">
        <v>852</v>
      </c>
    </row>
    <row r="970" spans="1:9" ht="11.25" customHeight="1">
      <c r="A970" t="s">
        <v>2246</v>
      </c>
      <c r="B970" t="s">
        <v>16</v>
      </c>
      <c r="C970" t="s">
        <v>3087</v>
      </c>
      <c r="D970" t="s">
        <v>3088</v>
      </c>
      <c r="E970" t="s">
        <v>3089</v>
      </c>
      <c r="F970" t="s">
        <v>2687</v>
      </c>
      <c r="G970" t="s">
        <v>28</v>
      </c>
      <c r="H970" t="s">
        <v>28</v>
      </c>
      <c r="I970" t="s">
        <v>852</v>
      </c>
    </row>
    <row r="971" spans="1:9" ht="11.25" customHeight="1">
      <c r="A971" t="s">
        <v>2246</v>
      </c>
      <c r="B971" t="s">
        <v>16</v>
      </c>
      <c r="C971" t="s">
        <v>3090</v>
      </c>
      <c r="D971" t="s">
        <v>3091</v>
      </c>
      <c r="E971" t="s">
        <v>3092</v>
      </c>
      <c r="F971" t="s">
        <v>2687</v>
      </c>
      <c r="G971" t="s">
        <v>28</v>
      </c>
      <c r="H971" t="s">
        <v>28</v>
      </c>
      <c r="I971" t="s">
        <v>852</v>
      </c>
    </row>
    <row r="972" spans="1:9" ht="11.25" customHeight="1">
      <c r="A972" t="s">
        <v>2246</v>
      </c>
      <c r="B972" t="s">
        <v>16</v>
      </c>
      <c r="C972" t="s">
        <v>3093</v>
      </c>
      <c r="D972" t="s">
        <v>3094</v>
      </c>
      <c r="E972" t="s">
        <v>3095</v>
      </c>
      <c r="F972" t="s">
        <v>2687</v>
      </c>
      <c r="G972" t="s">
        <v>3096</v>
      </c>
      <c r="H972" t="s">
        <v>28</v>
      </c>
      <c r="I972" t="s">
        <v>852</v>
      </c>
    </row>
    <row r="973" spans="1:9" ht="11.25" customHeight="1">
      <c r="A973" t="s">
        <v>2246</v>
      </c>
      <c r="B973" t="s">
        <v>16</v>
      </c>
      <c r="C973" t="s">
        <v>3097</v>
      </c>
      <c r="D973" t="s">
        <v>3098</v>
      </c>
      <c r="E973" t="s">
        <v>3099</v>
      </c>
      <c r="F973" t="s">
        <v>2687</v>
      </c>
      <c r="G973" t="s">
        <v>3100</v>
      </c>
      <c r="H973" t="s">
        <v>28</v>
      </c>
      <c r="I973" t="s">
        <v>852</v>
      </c>
    </row>
    <row r="974" spans="1:9" ht="11.25" customHeight="1">
      <c r="A974" t="s">
        <v>2246</v>
      </c>
      <c r="B974" t="s">
        <v>16</v>
      </c>
      <c r="C974" t="s">
        <v>4374</v>
      </c>
      <c r="D974" t="s">
        <v>4375</v>
      </c>
      <c r="E974" t="s">
        <v>4376</v>
      </c>
      <c r="F974" t="s">
        <v>50</v>
      </c>
      <c r="G974" t="s">
        <v>4377</v>
      </c>
      <c r="H974" t="s">
        <v>28</v>
      </c>
      <c r="I974" t="s">
        <v>852</v>
      </c>
    </row>
    <row r="975" spans="1:9" ht="11.25" customHeight="1">
      <c r="A975" t="s">
        <v>2246</v>
      </c>
      <c r="B975" t="s">
        <v>16</v>
      </c>
      <c r="C975" t="s">
        <v>3104</v>
      </c>
      <c r="D975" t="s">
        <v>3105</v>
      </c>
      <c r="E975" t="s">
        <v>3106</v>
      </c>
      <c r="F975" t="s">
        <v>2360</v>
      </c>
      <c r="G975" t="s">
        <v>3107</v>
      </c>
      <c r="H975" t="s">
        <v>28</v>
      </c>
      <c r="I975" t="s">
        <v>852</v>
      </c>
    </row>
    <row r="976" spans="1:9" ht="11.25" customHeight="1">
      <c r="A976" t="s">
        <v>2246</v>
      </c>
      <c r="B976" t="s">
        <v>16</v>
      </c>
      <c r="C976" t="s">
        <v>4378</v>
      </c>
      <c r="D976" t="s">
        <v>4379</v>
      </c>
      <c r="E976" t="s">
        <v>4380</v>
      </c>
      <c r="F976" t="s">
        <v>2360</v>
      </c>
      <c r="G976" t="s">
        <v>28</v>
      </c>
      <c r="H976" t="s">
        <v>28</v>
      </c>
      <c r="I976" t="s">
        <v>852</v>
      </c>
    </row>
    <row r="977" spans="1:9" ht="11.25" customHeight="1">
      <c r="A977" t="s">
        <v>2246</v>
      </c>
      <c r="B977" t="s">
        <v>16</v>
      </c>
      <c r="C977" t="s">
        <v>4381</v>
      </c>
      <c r="D977" t="s">
        <v>4382</v>
      </c>
      <c r="E977" t="s">
        <v>4383</v>
      </c>
      <c r="F977" t="s">
        <v>2400</v>
      </c>
      <c r="G977" t="s">
        <v>4384</v>
      </c>
      <c r="H977" t="s">
        <v>28</v>
      </c>
      <c r="I977" t="s">
        <v>852</v>
      </c>
    </row>
    <row r="978" spans="1:9" ht="11.25" customHeight="1">
      <c r="A978" t="s">
        <v>2246</v>
      </c>
      <c r="B978" t="s">
        <v>16</v>
      </c>
      <c r="C978" t="s">
        <v>4385</v>
      </c>
      <c r="D978" t="s">
        <v>4386</v>
      </c>
      <c r="E978" t="s">
        <v>4387</v>
      </c>
      <c r="F978" t="s">
        <v>2582</v>
      </c>
      <c r="G978" t="s">
        <v>28</v>
      </c>
      <c r="H978" t="s">
        <v>28</v>
      </c>
      <c r="I978" t="s">
        <v>852</v>
      </c>
    </row>
    <row r="979" spans="1:9" ht="11.25" customHeight="1">
      <c r="A979" t="s">
        <v>2246</v>
      </c>
      <c r="B979" t="s">
        <v>16</v>
      </c>
      <c r="C979" t="s">
        <v>3118</v>
      </c>
      <c r="D979" t="s">
        <v>3119</v>
      </c>
      <c r="E979" t="s">
        <v>3120</v>
      </c>
      <c r="F979" t="s">
        <v>2687</v>
      </c>
      <c r="G979" t="s">
        <v>3121</v>
      </c>
      <c r="H979" t="s">
        <v>28</v>
      </c>
      <c r="I979" t="s">
        <v>852</v>
      </c>
    </row>
    <row r="980" spans="1:9" ht="11.25" customHeight="1">
      <c r="A980" t="s">
        <v>2246</v>
      </c>
      <c r="B980" t="s">
        <v>16</v>
      </c>
      <c r="C980" t="s">
        <v>3122</v>
      </c>
      <c r="D980" t="s">
        <v>3123</v>
      </c>
      <c r="E980" t="s">
        <v>3124</v>
      </c>
      <c r="F980" t="s">
        <v>3125</v>
      </c>
      <c r="G980" t="s">
        <v>28</v>
      </c>
      <c r="H980" t="s">
        <v>28</v>
      </c>
      <c r="I980" t="s">
        <v>852</v>
      </c>
    </row>
    <row r="981" spans="1:9" ht="11.25" customHeight="1">
      <c r="A981" t="s">
        <v>2246</v>
      </c>
      <c r="B981" t="s">
        <v>16</v>
      </c>
      <c r="C981" t="s">
        <v>4388</v>
      </c>
      <c r="D981" t="s">
        <v>4389</v>
      </c>
      <c r="E981" t="s">
        <v>4390</v>
      </c>
      <c r="F981" t="s">
        <v>2582</v>
      </c>
      <c r="G981" t="s">
        <v>4391</v>
      </c>
      <c r="H981" t="s">
        <v>28</v>
      </c>
      <c r="I981" t="s">
        <v>852</v>
      </c>
    </row>
    <row r="982" spans="1:9" ht="11.25" customHeight="1">
      <c r="A982" t="s">
        <v>2246</v>
      </c>
      <c r="B982" t="s">
        <v>16</v>
      </c>
      <c r="C982" t="s">
        <v>3133</v>
      </c>
      <c r="D982" t="s">
        <v>3134</v>
      </c>
      <c r="E982" t="s">
        <v>3135</v>
      </c>
      <c r="F982" t="s">
        <v>2268</v>
      </c>
      <c r="G982" t="s">
        <v>3136</v>
      </c>
      <c r="H982" t="s">
        <v>28</v>
      </c>
      <c r="I982" t="s">
        <v>852</v>
      </c>
    </row>
    <row r="983" spans="1:9" ht="11.25" customHeight="1">
      <c r="A983" t="s">
        <v>2246</v>
      </c>
      <c r="B983" t="s">
        <v>16</v>
      </c>
      <c r="C983" t="s">
        <v>4392</v>
      </c>
      <c r="D983" t="s">
        <v>4393</v>
      </c>
      <c r="E983" t="s">
        <v>4394</v>
      </c>
      <c r="F983" t="s">
        <v>2286</v>
      </c>
      <c r="G983" t="s">
        <v>28</v>
      </c>
      <c r="H983" t="s">
        <v>28</v>
      </c>
      <c r="I983" t="s">
        <v>852</v>
      </c>
    </row>
    <row r="984" spans="1:9" ht="11.25" customHeight="1">
      <c r="A984" t="s">
        <v>2246</v>
      </c>
      <c r="B984" t="s">
        <v>16</v>
      </c>
      <c r="C984" t="s">
        <v>3137</v>
      </c>
      <c r="D984" t="s">
        <v>3138</v>
      </c>
      <c r="E984" t="s">
        <v>3139</v>
      </c>
      <c r="F984" t="s">
        <v>2250</v>
      </c>
      <c r="G984" t="s">
        <v>3140</v>
      </c>
      <c r="H984" t="s">
        <v>28</v>
      </c>
      <c r="I984" t="s">
        <v>852</v>
      </c>
    </row>
    <row r="985" spans="1:9" ht="11.25" customHeight="1">
      <c r="A985" t="s">
        <v>2246</v>
      </c>
      <c r="B985" t="s">
        <v>16</v>
      </c>
      <c r="C985" t="s">
        <v>3141</v>
      </c>
      <c r="D985" t="s">
        <v>3142</v>
      </c>
      <c r="E985" t="s">
        <v>3143</v>
      </c>
      <c r="F985" t="s">
        <v>2286</v>
      </c>
      <c r="G985" t="s">
        <v>28</v>
      </c>
      <c r="H985" t="s">
        <v>28</v>
      </c>
      <c r="I985" t="s">
        <v>852</v>
      </c>
    </row>
    <row r="986" spans="1:9" ht="11.25" customHeight="1">
      <c r="A986" t="s">
        <v>2246</v>
      </c>
      <c r="B986" t="s">
        <v>16</v>
      </c>
      <c r="C986" t="s">
        <v>3144</v>
      </c>
      <c r="D986" t="s">
        <v>3145</v>
      </c>
      <c r="E986" t="s">
        <v>3146</v>
      </c>
      <c r="F986" t="s">
        <v>2295</v>
      </c>
      <c r="G986" t="s">
        <v>3147</v>
      </c>
      <c r="H986" t="s">
        <v>28</v>
      </c>
      <c r="I986" t="s">
        <v>852</v>
      </c>
    </row>
    <row r="987" spans="1:9" ht="11.25" customHeight="1">
      <c r="A987" t="s">
        <v>2246</v>
      </c>
      <c r="B987" t="s">
        <v>16</v>
      </c>
      <c r="C987" t="s">
        <v>3148</v>
      </c>
      <c r="D987" t="s">
        <v>3149</v>
      </c>
      <c r="E987" t="s">
        <v>3150</v>
      </c>
      <c r="F987" t="s">
        <v>2250</v>
      </c>
      <c r="G987" t="s">
        <v>2269</v>
      </c>
      <c r="H987" t="s">
        <v>28</v>
      </c>
      <c r="I987" t="s">
        <v>852</v>
      </c>
    </row>
    <row r="988" spans="1:9" ht="11.25" customHeight="1">
      <c r="A988" t="s">
        <v>2246</v>
      </c>
      <c r="B988" t="s">
        <v>16</v>
      </c>
      <c r="C988" t="s">
        <v>3151</v>
      </c>
      <c r="D988" t="s">
        <v>3152</v>
      </c>
      <c r="E988" t="s">
        <v>3153</v>
      </c>
      <c r="F988" t="s">
        <v>2286</v>
      </c>
      <c r="G988" t="s">
        <v>28</v>
      </c>
      <c r="H988" t="s">
        <v>28</v>
      </c>
      <c r="I988" t="s">
        <v>852</v>
      </c>
    </row>
    <row r="989" spans="1:9" ht="11.25" customHeight="1">
      <c r="A989" t="s">
        <v>2246</v>
      </c>
      <c r="B989" t="s">
        <v>16</v>
      </c>
      <c r="C989" t="s">
        <v>3154</v>
      </c>
      <c r="D989" t="s">
        <v>3155</v>
      </c>
      <c r="E989" t="s">
        <v>3156</v>
      </c>
      <c r="F989" t="s">
        <v>2286</v>
      </c>
      <c r="G989" t="s">
        <v>3157</v>
      </c>
      <c r="H989" t="s">
        <v>28</v>
      </c>
      <c r="I989" t="s">
        <v>852</v>
      </c>
    </row>
    <row r="990" spans="1:9" ht="11.25" customHeight="1">
      <c r="A990" t="s">
        <v>2246</v>
      </c>
      <c r="B990" t="s">
        <v>16</v>
      </c>
      <c r="C990" t="s">
        <v>3161</v>
      </c>
      <c r="D990" t="s">
        <v>3162</v>
      </c>
      <c r="E990" t="s">
        <v>3163</v>
      </c>
      <c r="F990" t="s">
        <v>2582</v>
      </c>
      <c r="G990" t="s">
        <v>3164</v>
      </c>
      <c r="H990" t="s">
        <v>28</v>
      </c>
      <c r="I990" t="s">
        <v>852</v>
      </c>
    </row>
    <row r="991" spans="1:9" ht="11.25" customHeight="1">
      <c r="A991" t="s">
        <v>2246</v>
      </c>
      <c r="B991" t="s">
        <v>16</v>
      </c>
      <c r="C991" t="s">
        <v>3165</v>
      </c>
      <c r="D991" t="s">
        <v>3166</v>
      </c>
      <c r="E991" t="s">
        <v>3167</v>
      </c>
      <c r="F991" t="s">
        <v>2582</v>
      </c>
      <c r="G991" t="s">
        <v>3168</v>
      </c>
      <c r="H991" t="s">
        <v>28</v>
      </c>
      <c r="I991" t="s">
        <v>852</v>
      </c>
    </row>
    <row r="992" spans="1:9" ht="11.25" customHeight="1">
      <c r="A992" t="s">
        <v>2246</v>
      </c>
      <c r="B992" t="s">
        <v>16</v>
      </c>
      <c r="C992" t="s">
        <v>3169</v>
      </c>
      <c r="D992" t="s">
        <v>3170</v>
      </c>
      <c r="E992" t="s">
        <v>3171</v>
      </c>
      <c r="F992" t="s">
        <v>2250</v>
      </c>
      <c r="G992" t="s">
        <v>3172</v>
      </c>
      <c r="H992" t="s">
        <v>28</v>
      </c>
      <c r="I992" t="s">
        <v>852</v>
      </c>
    </row>
    <row r="993" spans="1:9" ht="11.25" customHeight="1">
      <c r="A993" t="s">
        <v>2246</v>
      </c>
      <c r="B993" t="s">
        <v>16</v>
      </c>
      <c r="C993" t="s">
        <v>3173</v>
      </c>
      <c r="D993" t="s">
        <v>3174</v>
      </c>
      <c r="E993" t="s">
        <v>3175</v>
      </c>
      <c r="F993" t="s">
        <v>2352</v>
      </c>
      <c r="G993" t="s">
        <v>3176</v>
      </c>
      <c r="H993" t="s">
        <v>28</v>
      </c>
      <c r="I993" t="s">
        <v>852</v>
      </c>
    </row>
    <row r="994" spans="1:9" ht="11.25" customHeight="1">
      <c r="A994" t="s">
        <v>2246</v>
      </c>
      <c r="B994" t="s">
        <v>16</v>
      </c>
      <c r="C994" t="s">
        <v>3177</v>
      </c>
      <c r="D994" t="s">
        <v>3178</v>
      </c>
      <c r="E994" t="s">
        <v>3179</v>
      </c>
      <c r="F994" t="s">
        <v>3180</v>
      </c>
      <c r="G994" t="s">
        <v>28</v>
      </c>
      <c r="H994" t="s">
        <v>28</v>
      </c>
      <c r="I994" t="s">
        <v>852</v>
      </c>
    </row>
    <row r="995" spans="1:9" ht="11.25" customHeight="1">
      <c r="A995" t="s">
        <v>2246</v>
      </c>
      <c r="B995" t="s">
        <v>16</v>
      </c>
      <c r="C995" t="s">
        <v>4395</v>
      </c>
      <c r="D995" t="s">
        <v>4396</v>
      </c>
      <c r="E995" t="s">
        <v>4397</v>
      </c>
      <c r="F995" t="s">
        <v>2582</v>
      </c>
      <c r="G995" t="s">
        <v>4398</v>
      </c>
      <c r="H995" t="s">
        <v>28</v>
      </c>
      <c r="I995" t="s">
        <v>852</v>
      </c>
    </row>
    <row r="996" spans="1:9" ht="11.25" customHeight="1">
      <c r="A996" t="s">
        <v>2246</v>
      </c>
      <c r="B996" t="s">
        <v>16</v>
      </c>
      <c r="C996" t="s">
        <v>3185</v>
      </c>
      <c r="D996" t="s">
        <v>3186</v>
      </c>
      <c r="E996" t="s">
        <v>3187</v>
      </c>
      <c r="F996" t="s">
        <v>3188</v>
      </c>
      <c r="G996" t="s">
        <v>3189</v>
      </c>
      <c r="H996" t="s">
        <v>28</v>
      </c>
      <c r="I996" t="s">
        <v>852</v>
      </c>
    </row>
    <row r="997" spans="1:9" ht="11.25" customHeight="1">
      <c r="A997" t="s">
        <v>2246</v>
      </c>
      <c r="B997" t="s">
        <v>16</v>
      </c>
      <c r="C997" t="s">
        <v>3190</v>
      </c>
      <c r="D997" t="s">
        <v>3191</v>
      </c>
      <c r="E997" t="s">
        <v>3192</v>
      </c>
      <c r="F997" t="s">
        <v>2295</v>
      </c>
      <c r="G997" t="s">
        <v>28</v>
      </c>
      <c r="H997" t="s">
        <v>28</v>
      </c>
      <c r="I997" t="s">
        <v>852</v>
      </c>
    </row>
    <row r="998" spans="1:9" ht="11.25" customHeight="1">
      <c r="A998" t="s">
        <v>2246</v>
      </c>
      <c r="B998" t="s">
        <v>16</v>
      </c>
      <c r="C998" t="s">
        <v>3196</v>
      </c>
      <c r="D998" t="s">
        <v>3197</v>
      </c>
      <c r="E998" t="s">
        <v>3198</v>
      </c>
      <c r="F998" t="s">
        <v>2687</v>
      </c>
      <c r="G998" t="s">
        <v>3199</v>
      </c>
      <c r="H998" t="s">
        <v>28</v>
      </c>
      <c r="I998" t="s">
        <v>852</v>
      </c>
    </row>
    <row r="999" spans="1:9" ht="11.25" customHeight="1">
      <c r="A999" t="s">
        <v>2246</v>
      </c>
      <c r="B999" t="s">
        <v>16</v>
      </c>
      <c r="C999" t="s">
        <v>3200</v>
      </c>
      <c r="D999" t="s">
        <v>3201</v>
      </c>
      <c r="E999" t="s">
        <v>3202</v>
      </c>
      <c r="F999" t="s">
        <v>2295</v>
      </c>
      <c r="G999" t="s">
        <v>28</v>
      </c>
      <c r="H999" t="s">
        <v>28</v>
      </c>
      <c r="I999" t="s">
        <v>852</v>
      </c>
    </row>
    <row r="1000" spans="1:9" ht="11.25" customHeight="1">
      <c r="A1000" t="s">
        <v>2246</v>
      </c>
      <c r="B1000" t="s">
        <v>16</v>
      </c>
      <c r="C1000" t="s">
        <v>3203</v>
      </c>
      <c r="D1000" t="s">
        <v>3204</v>
      </c>
      <c r="E1000" t="s">
        <v>3205</v>
      </c>
      <c r="F1000" t="s">
        <v>3206</v>
      </c>
      <c r="G1000" t="s">
        <v>28</v>
      </c>
      <c r="H1000" t="s">
        <v>28</v>
      </c>
      <c r="I1000" t="s">
        <v>852</v>
      </c>
    </row>
    <row r="1001" spans="1:9" ht="11.25" customHeight="1">
      <c r="A1001" t="s">
        <v>2246</v>
      </c>
      <c r="B1001" t="s">
        <v>16</v>
      </c>
      <c r="C1001" t="s">
        <v>4399</v>
      </c>
      <c r="D1001" t="s">
        <v>4400</v>
      </c>
      <c r="E1001" t="s">
        <v>4401</v>
      </c>
      <c r="F1001" t="s">
        <v>2325</v>
      </c>
      <c r="G1001" t="s">
        <v>28</v>
      </c>
      <c r="H1001" t="s">
        <v>28</v>
      </c>
      <c r="I1001" t="s">
        <v>852</v>
      </c>
    </row>
    <row r="1002" spans="1:9" ht="11.25" customHeight="1">
      <c r="A1002" t="s">
        <v>2246</v>
      </c>
      <c r="B1002" t="s">
        <v>16</v>
      </c>
      <c r="C1002" t="s">
        <v>3207</v>
      </c>
      <c r="D1002" t="s">
        <v>3208</v>
      </c>
      <c r="E1002" t="s">
        <v>3209</v>
      </c>
      <c r="F1002" t="s">
        <v>2400</v>
      </c>
      <c r="G1002" t="s">
        <v>28</v>
      </c>
      <c r="H1002" t="s">
        <v>28</v>
      </c>
      <c r="I1002" t="s">
        <v>852</v>
      </c>
    </row>
    <row r="1003" spans="1:9" ht="11.25" customHeight="1">
      <c r="A1003" t="s">
        <v>2246</v>
      </c>
      <c r="B1003" t="s">
        <v>16</v>
      </c>
      <c r="C1003" t="s">
        <v>3229</v>
      </c>
      <c r="D1003" t="s">
        <v>3230</v>
      </c>
      <c r="E1003" t="s">
        <v>3231</v>
      </c>
      <c r="F1003" t="s">
        <v>2343</v>
      </c>
      <c r="G1003" t="s">
        <v>28</v>
      </c>
      <c r="H1003" t="s">
        <v>28</v>
      </c>
      <c r="I1003" t="s">
        <v>852</v>
      </c>
    </row>
    <row r="1004" spans="1:9" ht="11.25" customHeight="1">
      <c r="A1004" t="s">
        <v>2246</v>
      </c>
      <c r="B1004" t="s">
        <v>16</v>
      </c>
      <c r="C1004" t="s">
        <v>3238</v>
      </c>
      <c r="D1004" t="s">
        <v>3239</v>
      </c>
      <c r="E1004" t="s">
        <v>3240</v>
      </c>
      <c r="F1004" t="s">
        <v>2295</v>
      </c>
      <c r="G1004" t="s">
        <v>28</v>
      </c>
      <c r="H1004" t="s">
        <v>28</v>
      </c>
      <c r="I1004" t="s">
        <v>852</v>
      </c>
    </row>
    <row r="1005" spans="1:9" ht="11.25" customHeight="1">
      <c r="A1005" t="s">
        <v>2246</v>
      </c>
      <c r="B1005" t="s">
        <v>16</v>
      </c>
      <c r="C1005" t="s">
        <v>4402</v>
      </c>
      <c r="D1005" t="s">
        <v>4403</v>
      </c>
      <c r="E1005" t="s">
        <v>4404</v>
      </c>
      <c r="F1005" t="s">
        <v>2360</v>
      </c>
      <c r="G1005" t="s">
        <v>28</v>
      </c>
      <c r="H1005" t="s">
        <v>28</v>
      </c>
      <c r="I1005" t="s">
        <v>852</v>
      </c>
    </row>
    <row r="1006" spans="1:9" ht="11.25" customHeight="1">
      <c r="A1006" t="s">
        <v>2246</v>
      </c>
      <c r="B1006" t="s">
        <v>16</v>
      </c>
      <c r="C1006" t="s">
        <v>3253</v>
      </c>
      <c r="D1006" t="s">
        <v>3254</v>
      </c>
      <c r="E1006" t="s">
        <v>3255</v>
      </c>
      <c r="F1006" t="s">
        <v>2384</v>
      </c>
      <c r="G1006" t="s">
        <v>28</v>
      </c>
      <c r="H1006" t="s">
        <v>28</v>
      </c>
      <c r="I1006" t="s">
        <v>852</v>
      </c>
    </row>
    <row r="1007" spans="1:9" ht="11.25" customHeight="1">
      <c r="A1007" t="s">
        <v>2246</v>
      </c>
      <c r="B1007" t="s">
        <v>16</v>
      </c>
      <c r="C1007" t="s">
        <v>3256</v>
      </c>
      <c r="D1007" t="s">
        <v>3257</v>
      </c>
      <c r="E1007" t="s">
        <v>3258</v>
      </c>
      <c r="F1007" t="s">
        <v>2250</v>
      </c>
      <c r="G1007" t="s">
        <v>28</v>
      </c>
      <c r="H1007" t="s">
        <v>28</v>
      </c>
      <c r="I1007" t="s">
        <v>852</v>
      </c>
    </row>
    <row r="1008" spans="1:9" ht="11.25" customHeight="1">
      <c r="A1008" t="s">
        <v>2246</v>
      </c>
      <c r="B1008" t="s">
        <v>16</v>
      </c>
      <c r="C1008" t="s">
        <v>3276</v>
      </c>
      <c r="D1008" t="s">
        <v>3277</v>
      </c>
      <c r="E1008" t="s">
        <v>3278</v>
      </c>
      <c r="F1008" t="s">
        <v>50</v>
      </c>
      <c r="G1008" t="s">
        <v>28</v>
      </c>
      <c r="H1008" t="s">
        <v>28</v>
      </c>
      <c r="I1008" t="s">
        <v>852</v>
      </c>
    </row>
    <row r="1009" spans="1:9" ht="11.25" customHeight="1">
      <c r="A1009" t="s">
        <v>2246</v>
      </c>
      <c r="B1009" t="s">
        <v>16</v>
      </c>
      <c r="C1009" t="s">
        <v>3279</v>
      </c>
      <c r="D1009" t="s">
        <v>3280</v>
      </c>
      <c r="E1009" t="s">
        <v>3281</v>
      </c>
      <c r="F1009" t="s">
        <v>3282</v>
      </c>
      <c r="G1009" t="s">
        <v>28</v>
      </c>
      <c r="H1009" t="s">
        <v>28</v>
      </c>
      <c r="I1009" t="s">
        <v>852</v>
      </c>
    </row>
    <row r="1010" spans="1:9" ht="11.25" customHeight="1">
      <c r="A1010" t="s">
        <v>2246</v>
      </c>
      <c r="B1010" t="s">
        <v>16</v>
      </c>
      <c r="C1010" t="s">
        <v>3286</v>
      </c>
      <c r="D1010" t="s">
        <v>3287</v>
      </c>
      <c r="E1010" t="s">
        <v>3288</v>
      </c>
      <c r="F1010" t="s">
        <v>3289</v>
      </c>
      <c r="G1010" t="s">
        <v>28</v>
      </c>
      <c r="H1010" t="s">
        <v>28</v>
      </c>
      <c r="I1010" t="s">
        <v>852</v>
      </c>
    </row>
    <row r="1011" spans="1:9" ht="11.25" customHeight="1">
      <c r="A1011" t="s">
        <v>2246</v>
      </c>
      <c r="B1011" t="s">
        <v>16</v>
      </c>
      <c r="C1011" t="s">
        <v>4405</v>
      </c>
      <c r="D1011" t="s">
        <v>4406</v>
      </c>
      <c r="E1011" t="s">
        <v>4407</v>
      </c>
      <c r="F1011" t="s">
        <v>2687</v>
      </c>
      <c r="G1011" t="s">
        <v>28</v>
      </c>
      <c r="H1011" t="s">
        <v>28</v>
      </c>
      <c r="I1011" t="s">
        <v>852</v>
      </c>
    </row>
    <row r="1012" spans="1:9" ht="11.25" customHeight="1">
      <c r="A1012" t="s">
        <v>2246</v>
      </c>
      <c r="B1012" t="s">
        <v>16</v>
      </c>
      <c r="C1012" t="s">
        <v>4408</v>
      </c>
      <c r="D1012" t="s">
        <v>4409</v>
      </c>
      <c r="E1012" t="s">
        <v>4410</v>
      </c>
      <c r="F1012" t="s">
        <v>2268</v>
      </c>
      <c r="G1012" t="s">
        <v>28</v>
      </c>
      <c r="H1012" t="s">
        <v>28</v>
      </c>
      <c r="I1012" t="s">
        <v>852</v>
      </c>
    </row>
    <row r="1013" spans="1:9" ht="11.25" customHeight="1">
      <c r="A1013" t="s">
        <v>2246</v>
      </c>
      <c r="B1013" t="s">
        <v>16</v>
      </c>
      <c r="C1013" t="s">
        <v>3299</v>
      </c>
      <c r="D1013" t="s">
        <v>3300</v>
      </c>
      <c r="E1013" t="s">
        <v>3301</v>
      </c>
      <c r="F1013" t="s">
        <v>2268</v>
      </c>
      <c r="G1013" t="s">
        <v>28</v>
      </c>
      <c r="H1013" t="s">
        <v>28</v>
      </c>
      <c r="I1013" t="s">
        <v>852</v>
      </c>
    </row>
    <row r="1014" spans="1:9" ht="11.25" customHeight="1">
      <c r="A1014" t="s">
        <v>2246</v>
      </c>
      <c r="B1014" t="s">
        <v>16</v>
      </c>
      <c r="C1014" t="s">
        <v>4411</v>
      </c>
      <c r="D1014" t="s">
        <v>4412</v>
      </c>
      <c r="E1014" t="s">
        <v>4413</v>
      </c>
      <c r="F1014" t="s">
        <v>2273</v>
      </c>
      <c r="G1014" t="s">
        <v>28</v>
      </c>
      <c r="H1014" t="s">
        <v>28</v>
      </c>
      <c r="I1014" t="s">
        <v>852</v>
      </c>
    </row>
    <row r="1015" spans="1:9" ht="11.25" customHeight="1">
      <c r="A1015" t="s">
        <v>2246</v>
      </c>
      <c r="B1015" t="s">
        <v>16</v>
      </c>
      <c r="C1015" t="s">
        <v>4414</v>
      </c>
      <c r="D1015" t="s">
        <v>4415</v>
      </c>
      <c r="E1015" t="s">
        <v>4416</v>
      </c>
      <c r="F1015" t="s">
        <v>2268</v>
      </c>
      <c r="G1015" t="s">
        <v>28</v>
      </c>
      <c r="H1015" t="s">
        <v>28</v>
      </c>
      <c r="I1015" t="s">
        <v>852</v>
      </c>
    </row>
    <row r="1016" spans="1:9" ht="11.25" customHeight="1">
      <c r="A1016" t="s">
        <v>2246</v>
      </c>
      <c r="B1016" t="s">
        <v>16</v>
      </c>
      <c r="C1016" t="s">
        <v>3311</v>
      </c>
      <c r="D1016" t="s">
        <v>3312</v>
      </c>
      <c r="E1016" t="s">
        <v>3313</v>
      </c>
      <c r="F1016" t="s">
        <v>2582</v>
      </c>
      <c r="G1016" t="s">
        <v>28</v>
      </c>
      <c r="H1016" t="s">
        <v>28</v>
      </c>
      <c r="I1016" t="s">
        <v>852</v>
      </c>
    </row>
    <row r="1017" spans="1:9" ht="11.25" customHeight="1">
      <c r="A1017" t="s">
        <v>2246</v>
      </c>
      <c r="B1017" t="s">
        <v>16</v>
      </c>
      <c r="C1017" t="s">
        <v>4417</v>
      </c>
      <c r="D1017" t="s">
        <v>4418</v>
      </c>
      <c r="E1017" t="s">
        <v>4419</v>
      </c>
      <c r="F1017" t="s">
        <v>2250</v>
      </c>
      <c r="G1017" t="s">
        <v>28</v>
      </c>
      <c r="H1017" t="s">
        <v>28</v>
      </c>
      <c r="I1017" t="s">
        <v>852</v>
      </c>
    </row>
    <row r="1018" spans="1:9" ht="11.25" customHeight="1">
      <c r="A1018" t="s">
        <v>2246</v>
      </c>
      <c r="B1018" t="s">
        <v>16</v>
      </c>
      <c r="C1018" t="s">
        <v>4420</v>
      </c>
      <c r="D1018" t="s">
        <v>4421</v>
      </c>
      <c r="E1018" t="s">
        <v>4422</v>
      </c>
      <c r="F1018" t="s">
        <v>2250</v>
      </c>
      <c r="G1018" t="s">
        <v>28</v>
      </c>
      <c r="H1018" t="s">
        <v>28</v>
      </c>
      <c r="I1018" t="s">
        <v>852</v>
      </c>
    </row>
    <row r="1019" spans="1:9" ht="11.25" customHeight="1">
      <c r="A1019" t="s">
        <v>2246</v>
      </c>
      <c r="B1019" t="s">
        <v>16</v>
      </c>
      <c r="C1019" t="s">
        <v>3348</v>
      </c>
      <c r="D1019" t="s">
        <v>3349</v>
      </c>
      <c r="E1019" t="s">
        <v>3350</v>
      </c>
      <c r="F1019" t="s">
        <v>2325</v>
      </c>
      <c r="G1019" t="s">
        <v>28</v>
      </c>
      <c r="H1019" t="s">
        <v>28</v>
      </c>
      <c r="I1019" t="s">
        <v>852</v>
      </c>
    </row>
    <row r="1020" spans="1:9" ht="11.25" customHeight="1">
      <c r="A1020" t="s">
        <v>2246</v>
      </c>
      <c r="B1020" t="s">
        <v>16</v>
      </c>
      <c r="C1020" t="s">
        <v>3357</v>
      </c>
      <c r="D1020" t="s">
        <v>3358</v>
      </c>
      <c r="E1020" t="s">
        <v>3359</v>
      </c>
      <c r="F1020" t="s">
        <v>2574</v>
      </c>
      <c r="G1020" t="s">
        <v>28</v>
      </c>
      <c r="H1020" t="s">
        <v>28</v>
      </c>
      <c r="I1020" t="s">
        <v>852</v>
      </c>
    </row>
    <row r="1021" spans="1:9" ht="11.25" customHeight="1">
      <c r="A1021" t="s">
        <v>2246</v>
      </c>
      <c r="B1021" t="s">
        <v>16</v>
      </c>
      <c r="C1021" t="s">
        <v>3360</v>
      </c>
      <c r="D1021" t="s">
        <v>3361</v>
      </c>
      <c r="E1021" t="s">
        <v>3362</v>
      </c>
      <c r="F1021" t="s">
        <v>2295</v>
      </c>
      <c r="G1021" t="s">
        <v>28</v>
      </c>
      <c r="H1021" t="s">
        <v>28</v>
      </c>
      <c r="I1021" t="s">
        <v>852</v>
      </c>
    </row>
    <row r="1022" spans="1:9" ht="11.25" customHeight="1">
      <c r="A1022" t="s">
        <v>2246</v>
      </c>
      <c r="B1022" t="s">
        <v>16</v>
      </c>
      <c r="C1022" t="s">
        <v>4423</v>
      </c>
      <c r="D1022" t="s">
        <v>4424</v>
      </c>
      <c r="E1022" t="s">
        <v>4425</v>
      </c>
      <c r="F1022" t="s">
        <v>2250</v>
      </c>
      <c r="G1022" t="s">
        <v>28</v>
      </c>
      <c r="H1022" t="s">
        <v>28</v>
      </c>
      <c r="I1022" t="s">
        <v>852</v>
      </c>
    </row>
    <row r="1023" spans="1:9" ht="11.25" customHeight="1">
      <c r="A1023" t="s">
        <v>2246</v>
      </c>
      <c r="B1023" t="s">
        <v>16</v>
      </c>
      <c r="C1023" t="s">
        <v>3375</v>
      </c>
      <c r="D1023" t="s">
        <v>3376</v>
      </c>
      <c r="E1023" t="s">
        <v>3377</v>
      </c>
      <c r="F1023" t="s">
        <v>2332</v>
      </c>
      <c r="G1023" t="s">
        <v>28</v>
      </c>
      <c r="H1023" t="s">
        <v>28</v>
      </c>
      <c r="I1023" t="s">
        <v>852</v>
      </c>
    </row>
    <row r="1024" spans="1:9" ht="11.25" customHeight="1">
      <c r="A1024" t="s">
        <v>2246</v>
      </c>
      <c r="B1024" t="s">
        <v>16</v>
      </c>
      <c r="C1024" t="s">
        <v>3387</v>
      </c>
      <c r="D1024" t="s">
        <v>3388</v>
      </c>
      <c r="E1024" t="s">
        <v>3389</v>
      </c>
      <c r="F1024" t="s">
        <v>2332</v>
      </c>
      <c r="G1024" t="s">
        <v>28</v>
      </c>
      <c r="H1024" t="s">
        <v>28</v>
      </c>
      <c r="I1024" t="s">
        <v>852</v>
      </c>
    </row>
    <row r="1025" spans="1:9" ht="11.25" customHeight="1">
      <c r="A1025" t="s">
        <v>2246</v>
      </c>
      <c r="B1025" t="s">
        <v>16</v>
      </c>
      <c r="C1025" t="s">
        <v>3408</v>
      </c>
      <c r="D1025" t="s">
        <v>3409</v>
      </c>
      <c r="E1025" t="s">
        <v>3410</v>
      </c>
      <c r="F1025" t="s">
        <v>2250</v>
      </c>
      <c r="G1025" t="s">
        <v>28</v>
      </c>
      <c r="H1025" t="s">
        <v>28</v>
      </c>
      <c r="I1025" t="s">
        <v>852</v>
      </c>
    </row>
    <row r="1026" spans="1:9" ht="11.25" customHeight="1">
      <c r="A1026" t="s">
        <v>2246</v>
      </c>
      <c r="B1026" t="s">
        <v>16</v>
      </c>
      <c r="C1026" t="s">
        <v>4426</v>
      </c>
      <c r="D1026" t="s">
        <v>4427</v>
      </c>
      <c r="E1026" t="s">
        <v>4428</v>
      </c>
      <c r="F1026" t="s">
        <v>2332</v>
      </c>
      <c r="G1026" t="s">
        <v>28</v>
      </c>
      <c r="H1026" t="s">
        <v>28</v>
      </c>
      <c r="I1026" t="s">
        <v>852</v>
      </c>
    </row>
    <row r="1027" spans="1:9" ht="11.25" customHeight="1">
      <c r="A1027" t="s">
        <v>2246</v>
      </c>
      <c r="B1027" t="s">
        <v>16</v>
      </c>
      <c r="C1027" t="s">
        <v>3440</v>
      </c>
      <c r="D1027" t="s">
        <v>3441</v>
      </c>
      <c r="E1027" t="s">
        <v>3442</v>
      </c>
      <c r="F1027" t="s">
        <v>2303</v>
      </c>
      <c r="G1027" t="s">
        <v>28</v>
      </c>
      <c r="H1027" t="s">
        <v>28</v>
      </c>
      <c r="I1027" t="s">
        <v>852</v>
      </c>
    </row>
    <row r="1028" spans="1:9" ht="11.25" customHeight="1">
      <c r="A1028" t="s">
        <v>2246</v>
      </c>
      <c r="B1028" t="s">
        <v>16</v>
      </c>
      <c r="C1028" t="s">
        <v>3467</v>
      </c>
      <c r="D1028" t="s">
        <v>3468</v>
      </c>
      <c r="E1028" t="s">
        <v>2258</v>
      </c>
      <c r="F1028" t="s">
        <v>2462</v>
      </c>
      <c r="G1028" t="s">
        <v>28</v>
      </c>
      <c r="H1028" t="s">
        <v>28</v>
      </c>
      <c r="I1028" t="s">
        <v>852</v>
      </c>
    </row>
    <row r="1029" spans="1:9" ht="11.25" customHeight="1">
      <c r="A1029" t="s">
        <v>2246</v>
      </c>
      <c r="B1029" t="s">
        <v>16</v>
      </c>
      <c r="C1029" t="s">
        <v>3469</v>
      </c>
      <c r="D1029" t="s">
        <v>3470</v>
      </c>
      <c r="E1029" t="s">
        <v>2309</v>
      </c>
      <c r="F1029" t="s">
        <v>3471</v>
      </c>
      <c r="G1029" t="s">
        <v>2314</v>
      </c>
      <c r="H1029" t="s">
        <v>28</v>
      </c>
      <c r="I1029" t="s">
        <v>852</v>
      </c>
    </row>
    <row r="1030" spans="1:9" ht="11.25" customHeight="1">
      <c r="A1030" t="s">
        <v>2246</v>
      </c>
      <c r="B1030" t="s">
        <v>16</v>
      </c>
      <c r="C1030" t="s">
        <v>4429</v>
      </c>
      <c r="D1030" t="s">
        <v>4430</v>
      </c>
      <c r="E1030" t="s">
        <v>4431</v>
      </c>
      <c r="F1030" t="s">
        <v>3761</v>
      </c>
      <c r="G1030" t="s">
        <v>28</v>
      </c>
      <c r="H1030" t="s">
        <v>28</v>
      </c>
      <c r="I1030" t="s">
        <v>852</v>
      </c>
    </row>
    <row r="1031" spans="1:9" ht="11.25" customHeight="1">
      <c r="A1031" t="s">
        <v>2246</v>
      </c>
      <c r="B1031" t="s">
        <v>16</v>
      </c>
      <c r="C1031" t="s">
        <v>4432</v>
      </c>
      <c r="D1031" t="s">
        <v>4433</v>
      </c>
      <c r="E1031" t="s">
        <v>4434</v>
      </c>
      <c r="F1031" t="s">
        <v>2332</v>
      </c>
      <c r="G1031" t="s">
        <v>28</v>
      </c>
      <c r="H1031" t="s">
        <v>28</v>
      </c>
      <c r="I1031" t="s">
        <v>852</v>
      </c>
    </row>
    <row r="1032" spans="1:9" ht="11.25" customHeight="1">
      <c r="A1032" t="s">
        <v>2246</v>
      </c>
      <c r="B1032" t="s">
        <v>16</v>
      </c>
      <c r="C1032" t="s">
        <v>4435</v>
      </c>
      <c r="D1032" t="s">
        <v>4436</v>
      </c>
      <c r="E1032" t="s">
        <v>4437</v>
      </c>
      <c r="F1032" t="s">
        <v>4438</v>
      </c>
      <c r="G1032" t="s">
        <v>4439</v>
      </c>
      <c r="H1032" t="s">
        <v>28</v>
      </c>
      <c r="I1032" t="s">
        <v>852</v>
      </c>
    </row>
    <row r="1033" spans="1:9" ht="11.25" customHeight="1">
      <c r="A1033" t="s">
        <v>2246</v>
      </c>
      <c r="B1033" t="s">
        <v>16</v>
      </c>
      <c r="C1033" t="s">
        <v>3490</v>
      </c>
      <c r="D1033" t="s">
        <v>3491</v>
      </c>
      <c r="E1033" t="s">
        <v>3492</v>
      </c>
      <c r="F1033" t="s">
        <v>2332</v>
      </c>
      <c r="G1033" t="s">
        <v>3493</v>
      </c>
      <c r="H1033" t="s">
        <v>28</v>
      </c>
      <c r="I1033" t="s">
        <v>852</v>
      </c>
    </row>
    <row r="1034" spans="1:9" ht="11.25" customHeight="1">
      <c r="A1034" t="s">
        <v>2246</v>
      </c>
      <c r="B1034" t="s">
        <v>16</v>
      </c>
      <c r="C1034" t="s">
        <v>4440</v>
      </c>
      <c r="D1034" t="s">
        <v>4441</v>
      </c>
      <c r="E1034" t="s">
        <v>4442</v>
      </c>
      <c r="F1034" t="s">
        <v>50</v>
      </c>
      <c r="G1034" t="s">
        <v>28</v>
      </c>
      <c r="H1034" t="s">
        <v>28</v>
      </c>
      <c r="I1034" t="s">
        <v>852</v>
      </c>
    </row>
    <row r="1035" spans="1:9" ht="11.25" customHeight="1">
      <c r="A1035" t="s">
        <v>2246</v>
      </c>
      <c r="B1035" t="s">
        <v>16</v>
      </c>
      <c r="C1035" t="s">
        <v>4443</v>
      </c>
      <c r="D1035" t="s">
        <v>4444</v>
      </c>
      <c r="E1035" t="s">
        <v>4445</v>
      </c>
      <c r="F1035" t="s">
        <v>2384</v>
      </c>
      <c r="G1035" t="s">
        <v>28</v>
      </c>
      <c r="H1035" t="s">
        <v>28</v>
      </c>
      <c r="I1035" t="s">
        <v>852</v>
      </c>
    </row>
    <row r="1036" spans="1:9" ht="11.25" customHeight="1">
      <c r="A1036" t="s">
        <v>2246</v>
      </c>
      <c r="B1036" t="s">
        <v>16</v>
      </c>
      <c r="C1036" t="s">
        <v>3507</v>
      </c>
      <c r="D1036" t="s">
        <v>3508</v>
      </c>
      <c r="E1036" t="s">
        <v>3509</v>
      </c>
      <c r="F1036" t="s">
        <v>2724</v>
      </c>
      <c r="G1036" t="s">
        <v>3510</v>
      </c>
      <c r="H1036" t="s">
        <v>28</v>
      </c>
      <c r="I1036" t="s">
        <v>852</v>
      </c>
    </row>
    <row r="1037" spans="1:9" ht="11.25" customHeight="1">
      <c r="A1037" t="s">
        <v>2246</v>
      </c>
      <c r="B1037" t="s">
        <v>16</v>
      </c>
      <c r="C1037" t="s">
        <v>13</v>
      </c>
      <c r="D1037" t="s">
        <v>45</v>
      </c>
      <c r="E1037" t="s">
        <v>48</v>
      </c>
      <c r="F1037" t="s">
        <v>50</v>
      </c>
      <c r="G1037" t="s">
        <v>3518</v>
      </c>
      <c r="H1037" t="s">
        <v>28</v>
      </c>
      <c r="I1037" t="s">
        <v>852</v>
      </c>
    </row>
    <row r="1038" spans="1:9" ht="11.25" customHeight="1">
      <c r="A1038" t="s">
        <v>2246</v>
      </c>
      <c r="B1038" t="s">
        <v>16</v>
      </c>
      <c r="C1038" t="s">
        <v>4446</v>
      </c>
      <c r="D1038" t="s">
        <v>4447</v>
      </c>
      <c r="E1038" t="s">
        <v>4448</v>
      </c>
      <c r="F1038" t="s">
        <v>4449</v>
      </c>
      <c r="G1038" t="s">
        <v>4450</v>
      </c>
      <c r="H1038" t="s">
        <v>28</v>
      </c>
      <c r="I1038" t="s">
        <v>852</v>
      </c>
    </row>
    <row r="1039" spans="1:9" ht="11.25" customHeight="1">
      <c r="A1039" t="s">
        <v>2246</v>
      </c>
      <c r="B1039" t="s">
        <v>16</v>
      </c>
      <c r="C1039" t="s">
        <v>4451</v>
      </c>
      <c r="D1039" t="s">
        <v>4452</v>
      </c>
      <c r="E1039" t="s">
        <v>4453</v>
      </c>
      <c r="F1039" t="s">
        <v>2303</v>
      </c>
      <c r="G1039" t="s">
        <v>28</v>
      </c>
      <c r="H1039" t="s">
        <v>28</v>
      </c>
      <c r="I1039" t="s">
        <v>852</v>
      </c>
    </row>
    <row r="1040" spans="1:9" ht="11.25" customHeight="1">
      <c r="A1040" t="s">
        <v>2246</v>
      </c>
      <c r="B1040" t="s">
        <v>16</v>
      </c>
      <c r="C1040" t="s">
        <v>3522</v>
      </c>
      <c r="D1040" t="s">
        <v>3523</v>
      </c>
      <c r="E1040" t="s">
        <v>3524</v>
      </c>
      <c r="F1040" t="s">
        <v>2384</v>
      </c>
      <c r="G1040" t="s">
        <v>28</v>
      </c>
      <c r="H1040" t="s">
        <v>28</v>
      </c>
      <c r="I1040" t="s">
        <v>852</v>
      </c>
    </row>
    <row r="1041" spans="1:9" ht="11.25" customHeight="1">
      <c r="A1041" t="s">
        <v>2246</v>
      </c>
      <c r="B1041" t="s">
        <v>16</v>
      </c>
      <c r="C1041" t="s">
        <v>3525</v>
      </c>
      <c r="D1041" t="s">
        <v>3526</v>
      </c>
      <c r="E1041" t="s">
        <v>3527</v>
      </c>
      <c r="F1041" t="s">
        <v>2325</v>
      </c>
      <c r="G1041" t="s">
        <v>28</v>
      </c>
      <c r="H1041" t="s">
        <v>28</v>
      </c>
      <c r="I1041" t="s">
        <v>852</v>
      </c>
    </row>
    <row r="1042" spans="1:9" ht="11.25" customHeight="1">
      <c r="A1042" t="s">
        <v>2246</v>
      </c>
      <c r="B1042" t="s">
        <v>16</v>
      </c>
      <c r="C1042" t="s">
        <v>4454</v>
      </c>
      <c r="D1042" t="s">
        <v>4455</v>
      </c>
      <c r="E1042" t="s">
        <v>4456</v>
      </c>
      <c r="F1042" t="s">
        <v>2295</v>
      </c>
      <c r="G1042" t="s">
        <v>4457</v>
      </c>
      <c r="H1042" t="s">
        <v>28</v>
      </c>
      <c r="I1042" t="s">
        <v>852</v>
      </c>
    </row>
    <row r="1043" spans="1:9" ht="11.25" customHeight="1">
      <c r="A1043" t="s">
        <v>2246</v>
      </c>
      <c r="B1043" t="s">
        <v>16</v>
      </c>
      <c r="C1043" t="s">
        <v>3528</v>
      </c>
      <c r="D1043" t="s">
        <v>3529</v>
      </c>
      <c r="E1043" t="s">
        <v>3530</v>
      </c>
      <c r="F1043" t="s">
        <v>3531</v>
      </c>
      <c r="G1043" t="s">
        <v>28</v>
      </c>
      <c r="H1043" t="s">
        <v>28</v>
      </c>
      <c r="I1043" t="s">
        <v>852</v>
      </c>
    </row>
    <row r="1044" spans="1:9" ht="11.25" customHeight="1">
      <c r="A1044" t="s">
        <v>2246</v>
      </c>
      <c r="B1044" t="s">
        <v>16</v>
      </c>
      <c r="C1044" t="s">
        <v>4458</v>
      </c>
      <c r="D1044" t="s">
        <v>4459</v>
      </c>
      <c r="E1044" t="s">
        <v>3530</v>
      </c>
      <c r="F1044" t="s">
        <v>4460</v>
      </c>
      <c r="G1044" t="s">
        <v>4461</v>
      </c>
      <c r="H1044" t="s">
        <v>28</v>
      </c>
      <c r="I1044" t="s">
        <v>852</v>
      </c>
    </row>
    <row r="1045" spans="1:9" ht="11.25" customHeight="1">
      <c r="A1045" t="s">
        <v>2246</v>
      </c>
      <c r="B1045" t="s">
        <v>16</v>
      </c>
      <c r="C1045" t="s">
        <v>3546</v>
      </c>
      <c r="D1045" t="s">
        <v>3547</v>
      </c>
      <c r="E1045" t="s">
        <v>3530</v>
      </c>
      <c r="F1045" t="s">
        <v>3548</v>
      </c>
      <c r="G1045" t="s">
        <v>28</v>
      </c>
      <c r="H1045" t="s">
        <v>28</v>
      </c>
      <c r="I1045" t="s">
        <v>852</v>
      </c>
    </row>
    <row r="1046" spans="1:9" ht="11.25" customHeight="1">
      <c r="A1046" t="s">
        <v>2246</v>
      </c>
      <c r="B1046" t="s">
        <v>16</v>
      </c>
      <c r="C1046" t="s">
        <v>3561</v>
      </c>
      <c r="D1046" t="s">
        <v>3562</v>
      </c>
      <c r="E1046" t="s">
        <v>3563</v>
      </c>
      <c r="F1046" t="s">
        <v>2668</v>
      </c>
      <c r="G1046" t="s">
        <v>3564</v>
      </c>
      <c r="H1046" t="s">
        <v>28</v>
      </c>
      <c r="I1046" t="s">
        <v>852</v>
      </c>
    </row>
    <row r="1047" spans="1:9" ht="11.25" customHeight="1">
      <c r="A1047" t="s">
        <v>2246</v>
      </c>
      <c r="B1047" t="s">
        <v>16</v>
      </c>
      <c r="C1047" t="s">
        <v>3565</v>
      </c>
      <c r="D1047" t="s">
        <v>3566</v>
      </c>
      <c r="E1047" t="s">
        <v>3563</v>
      </c>
      <c r="F1047" t="s">
        <v>3567</v>
      </c>
      <c r="G1047" t="s">
        <v>3564</v>
      </c>
      <c r="H1047" t="s">
        <v>28</v>
      </c>
      <c r="I1047" t="s">
        <v>852</v>
      </c>
    </row>
    <row r="1048" spans="1:9" ht="11.25" customHeight="1">
      <c r="A1048" t="s">
        <v>2246</v>
      </c>
      <c r="B1048" t="s">
        <v>16</v>
      </c>
      <c r="C1048" t="s">
        <v>4462</v>
      </c>
      <c r="D1048" t="s">
        <v>4463</v>
      </c>
      <c r="E1048" t="s">
        <v>4464</v>
      </c>
      <c r="F1048" t="s">
        <v>2687</v>
      </c>
      <c r="G1048" t="s">
        <v>4465</v>
      </c>
      <c r="H1048" t="s">
        <v>28</v>
      </c>
      <c r="I1048" t="s">
        <v>852</v>
      </c>
    </row>
    <row r="1049" spans="1:9" ht="11.25" customHeight="1">
      <c r="A1049" t="s">
        <v>2246</v>
      </c>
      <c r="B1049" t="s">
        <v>16</v>
      </c>
      <c r="C1049" t="s">
        <v>3586</v>
      </c>
      <c r="D1049" t="s">
        <v>3587</v>
      </c>
      <c r="E1049" t="s">
        <v>3588</v>
      </c>
      <c r="F1049" t="s">
        <v>2268</v>
      </c>
      <c r="G1049" t="s">
        <v>28</v>
      </c>
      <c r="H1049" t="s">
        <v>28</v>
      </c>
      <c r="I1049" t="s">
        <v>852</v>
      </c>
    </row>
    <row r="1050" spans="1:9" ht="11.25" customHeight="1">
      <c r="A1050" t="s">
        <v>2246</v>
      </c>
      <c r="B1050" t="s">
        <v>16</v>
      </c>
      <c r="C1050" t="s">
        <v>3589</v>
      </c>
      <c r="D1050" t="s">
        <v>3590</v>
      </c>
      <c r="E1050" t="s">
        <v>3591</v>
      </c>
      <c r="F1050" t="s">
        <v>3592</v>
      </c>
      <c r="G1050" t="s">
        <v>28</v>
      </c>
      <c r="H1050" t="s">
        <v>28</v>
      </c>
      <c r="I1050" t="s">
        <v>852</v>
      </c>
    </row>
    <row r="1051" spans="1:9" ht="11.25" customHeight="1">
      <c r="A1051" t="s">
        <v>2246</v>
      </c>
      <c r="B1051" t="s">
        <v>16</v>
      </c>
      <c r="C1051" t="s">
        <v>3593</v>
      </c>
      <c r="D1051" t="s">
        <v>3594</v>
      </c>
      <c r="E1051" t="s">
        <v>3595</v>
      </c>
      <c r="F1051" t="s">
        <v>2250</v>
      </c>
      <c r="G1051" t="s">
        <v>2725</v>
      </c>
      <c r="H1051" t="s">
        <v>28</v>
      </c>
      <c r="I1051" t="s">
        <v>852</v>
      </c>
    </row>
    <row r="1052" spans="1:9" ht="11.25" customHeight="1">
      <c r="A1052" t="s">
        <v>2246</v>
      </c>
      <c r="B1052" t="s">
        <v>16</v>
      </c>
      <c r="C1052" t="s">
        <v>3602</v>
      </c>
      <c r="D1052" t="s">
        <v>3603</v>
      </c>
      <c r="E1052" t="s">
        <v>3604</v>
      </c>
      <c r="F1052" t="s">
        <v>2250</v>
      </c>
      <c r="G1052" t="s">
        <v>3605</v>
      </c>
      <c r="H1052" t="s">
        <v>28</v>
      </c>
      <c r="I1052" t="s">
        <v>852</v>
      </c>
    </row>
    <row r="1053" spans="1:9" ht="11.25" customHeight="1">
      <c r="A1053" t="s">
        <v>2246</v>
      </c>
      <c r="B1053" t="s">
        <v>16</v>
      </c>
      <c r="C1053" t="s">
        <v>3606</v>
      </c>
      <c r="D1053" t="s">
        <v>3607</v>
      </c>
      <c r="E1053" t="s">
        <v>3608</v>
      </c>
      <c r="F1053" t="s">
        <v>3609</v>
      </c>
      <c r="G1053" t="s">
        <v>28</v>
      </c>
      <c r="H1053" t="s">
        <v>28</v>
      </c>
      <c r="I1053" t="s">
        <v>852</v>
      </c>
    </row>
    <row r="1054" spans="1:9" ht="11.25" customHeight="1">
      <c r="A1054" t="s">
        <v>2246</v>
      </c>
      <c r="B1054" t="s">
        <v>16</v>
      </c>
      <c r="C1054" t="s">
        <v>3614</v>
      </c>
      <c r="D1054" t="s">
        <v>3615</v>
      </c>
      <c r="E1054" t="s">
        <v>3616</v>
      </c>
      <c r="F1054" t="s">
        <v>2250</v>
      </c>
      <c r="G1054" t="s">
        <v>28</v>
      </c>
      <c r="H1054" t="s">
        <v>28</v>
      </c>
      <c r="I1054" t="s">
        <v>852</v>
      </c>
    </row>
    <row r="1055" spans="1:9" ht="11.25" customHeight="1">
      <c r="A1055" t="s">
        <v>2246</v>
      </c>
      <c r="B1055" t="s">
        <v>16</v>
      </c>
      <c r="C1055" t="s">
        <v>4466</v>
      </c>
      <c r="D1055" t="s">
        <v>4467</v>
      </c>
      <c r="E1055" t="s">
        <v>4468</v>
      </c>
      <c r="F1055" t="s">
        <v>2332</v>
      </c>
      <c r="G1055" t="s">
        <v>28</v>
      </c>
      <c r="H1055" t="s">
        <v>28</v>
      </c>
      <c r="I1055" t="s">
        <v>852</v>
      </c>
    </row>
    <row r="1056" spans="1:9" ht="11.25" customHeight="1">
      <c r="A1056" t="s">
        <v>2246</v>
      </c>
      <c r="B1056" t="s">
        <v>16</v>
      </c>
      <c r="C1056" t="s">
        <v>3621</v>
      </c>
      <c r="D1056" t="s">
        <v>3622</v>
      </c>
      <c r="E1056" t="s">
        <v>3623</v>
      </c>
      <c r="F1056" t="s">
        <v>2384</v>
      </c>
      <c r="G1056" t="s">
        <v>28</v>
      </c>
      <c r="H1056" t="s">
        <v>28</v>
      </c>
      <c r="I1056" t="s">
        <v>852</v>
      </c>
    </row>
    <row r="1057" spans="1:9" ht="11.25" customHeight="1">
      <c r="A1057" t="s">
        <v>2246</v>
      </c>
      <c r="B1057" t="s">
        <v>16</v>
      </c>
      <c r="C1057" t="s">
        <v>3627</v>
      </c>
      <c r="D1057" t="s">
        <v>3628</v>
      </c>
      <c r="E1057" t="s">
        <v>3629</v>
      </c>
      <c r="F1057" t="s">
        <v>2325</v>
      </c>
      <c r="G1057" t="s">
        <v>28</v>
      </c>
      <c r="H1057" t="s">
        <v>28</v>
      </c>
      <c r="I1057" t="s">
        <v>852</v>
      </c>
    </row>
    <row r="1058" spans="1:9" ht="11.25" customHeight="1">
      <c r="A1058" t="s">
        <v>2246</v>
      </c>
      <c r="B1058" t="s">
        <v>16</v>
      </c>
      <c r="C1058" t="s">
        <v>3640</v>
      </c>
      <c r="D1058" t="s">
        <v>3641</v>
      </c>
      <c r="E1058" t="s">
        <v>3642</v>
      </c>
      <c r="F1058" t="s">
        <v>50</v>
      </c>
      <c r="G1058" t="s">
        <v>28</v>
      </c>
      <c r="H1058" t="s">
        <v>28</v>
      </c>
      <c r="I1058" t="s">
        <v>852</v>
      </c>
    </row>
    <row r="1059" spans="1:9" ht="11.25" customHeight="1">
      <c r="A1059" t="s">
        <v>2246</v>
      </c>
      <c r="B1059" t="s">
        <v>16</v>
      </c>
      <c r="C1059" t="s">
        <v>3653</v>
      </c>
      <c r="D1059" t="s">
        <v>3654</v>
      </c>
      <c r="E1059" t="s">
        <v>3655</v>
      </c>
      <c r="F1059" t="s">
        <v>2384</v>
      </c>
      <c r="G1059" t="s">
        <v>3656</v>
      </c>
      <c r="H1059" t="s">
        <v>28</v>
      </c>
      <c r="I1059" t="s">
        <v>852</v>
      </c>
    </row>
    <row r="1060" spans="1:9" ht="11.25" customHeight="1">
      <c r="A1060" t="s">
        <v>2246</v>
      </c>
      <c r="B1060" t="s">
        <v>16</v>
      </c>
      <c r="C1060" t="s">
        <v>4469</v>
      </c>
      <c r="D1060" t="s">
        <v>4470</v>
      </c>
      <c r="E1060" t="s">
        <v>4471</v>
      </c>
      <c r="F1060" t="s">
        <v>3188</v>
      </c>
      <c r="G1060" t="s">
        <v>3056</v>
      </c>
      <c r="H1060" t="s">
        <v>28</v>
      </c>
      <c r="I1060" t="s">
        <v>852</v>
      </c>
    </row>
    <row r="1061" spans="1:9" ht="11.25" customHeight="1">
      <c r="A1061" t="s">
        <v>2246</v>
      </c>
      <c r="B1061" t="s">
        <v>16</v>
      </c>
      <c r="C1061" t="s">
        <v>3679</v>
      </c>
      <c r="D1061" t="s">
        <v>3680</v>
      </c>
      <c r="E1061" t="s">
        <v>3681</v>
      </c>
      <c r="F1061" t="s">
        <v>2582</v>
      </c>
      <c r="G1061" t="s">
        <v>28</v>
      </c>
      <c r="H1061" t="s">
        <v>28</v>
      </c>
      <c r="I1061" t="s">
        <v>852</v>
      </c>
    </row>
    <row r="1062" spans="1:9" ht="11.25" customHeight="1">
      <c r="A1062" t="s">
        <v>2246</v>
      </c>
      <c r="B1062" t="s">
        <v>16</v>
      </c>
      <c r="C1062" t="s">
        <v>3699</v>
      </c>
      <c r="D1062" t="s">
        <v>3700</v>
      </c>
      <c r="E1062" t="s">
        <v>3701</v>
      </c>
      <c r="F1062" t="s">
        <v>2332</v>
      </c>
      <c r="G1062" t="s">
        <v>28</v>
      </c>
      <c r="H1062" t="s">
        <v>28</v>
      </c>
      <c r="I1062" t="s">
        <v>852</v>
      </c>
    </row>
    <row r="1063" spans="1:9" ht="11.25" customHeight="1">
      <c r="A1063" t="s">
        <v>2246</v>
      </c>
      <c r="B1063" t="s">
        <v>16</v>
      </c>
      <c r="C1063" t="s">
        <v>3725</v>
      </c>
      <c r="D1063" t="s">
        <v>3726</v>
      </c>
      <c r="E1063" t="s">
        <v>3727</v>
      </c>
      <c r="F1063" t="s">
        <v>2343</v>
      </c>
      <c r="G1063" t="s">
        <v>28</v>
      </c>
      <c r="H1063" t="s">
        <v>28</v>
      </c>
      <c r="I1063" t="s">
        <v>852</v>
      </c>
    </row>
    <row r="1064" spans="1:9" ht="11.25" customHeight="1">
      <c r="A1064" t="s">
        <v>2246</v>
      </c>
      <c r="B1064" t="s">
        <v>16</v>
      </c>
      <c r="C1064" t="s">
        <v>3728</v>
      </c>
      <c r="D1064" t="s">
        <v>3729</v>
      </c>
      <c r="E1064" t="s">
        <v>3730</v>
      </c>
      <c r="F1064" t="s">
        <v>2758</v>
      </c>
      <c r="G1064" t="s">
        <v>3731</v>
      </c>
      <c r="H1064" t="s">
        <v>28</v>
      </c>
      <c r="I1064" t="s">
        <v>852</v>
      </c>
    </row>
    <row r="1065" spans="1:9" ht="11.25" customHeight="1">
      <c r="A1065" t="s">
        <v>2246</v>
      </c>
      <c r="B1065" t="s">
        <v>16</v>
      </c>
      <c r="C1065" t="s">
        <v>3743</v>
      </c>
      <c r="D1065" t="s">
        <v>3744</v>
      </c>
      <c r="E1065" t="s">
        <v>3745</v>
      </c>
      <c r="F1065" t="s">
        <v>2325</v>
      </c>
      <c r="G1065" t="s">
        <v>3746</v>
      </c>
      <c r="H1065" t="s">
        <v>28</v>
      </c>
      <c r="I1065" t="s">
        <v>852</v>
      </c>
    </row>
    <row r="1066" spans="1:9" ht="11.25" customHeight="1">
      <c r="A1066" t="s">
        <v>2246</v>
      </c>
      <c r="B1066" t="s">
        <v>16</v>
      </c>
      <c r="C1066" t="s">
        <v>3754</v>
      </c>
      <c r="D1066" t="s">
        <v>3755</v>
      </c>
      <c r="E1066" t="s">
        <v>3756</v>
      </c>
      <c r="F1066" t="s">
        <v>2325</v>
      </c>
      <c r="G1066" t="s">
        <v>3757</v>
      </c>
      <c r="H1066" t="s">
        <v>28</v>
      </c>
      <c r="I1066" t="s">
        <v>852</v>
      </c>
    </row>
    <row r="1067" spans="1:9" ht="11.25" customHeight="1">
      <c r="A1067" t="s">
        <v>2246</v>
      </c>
      <c r="B1067" t="s">
        <v>16</v>
      </c>
      <c r="C1067" t="s">
        <v>3775</v>
      </c>
      <c r="D1067" t="s">
        <v>3776</v>
      </c>
      <c r="E1067" t="s">
        <v>3777</v>
      </c>
      <c r="F1067" t="s">
        <v>2582</v>
      </c>
      <c r="G1067" t="s">
        <v>3778</v>
      </c>
      <c r="H1067" t="s">
        <v>28</v>
      </c>
      <c r="I1067" t="s">
        <v>852</v>
      </c>
    </row>
    <row r="1068" spans="1:9" ht="11.25" customHeight="1">
      <c r="A1068" t="s">
        <v>2246</v>
      </c>
      <c r="B1068" t="s">
        <v>16</v>
      </c>
      <c r="C1068" t="s">
        <v>4472</v>
      </c>
      <c r="D1068" t="s">
        <v>4473</v>
      </c>
      <c r="E1068" t="s">
        <v>4474</v>
      </c>
      <c r="F1068" t="s">
        <v>2343</v>
      </c>
      <c r="G1068" t="s">
        <v>4475</v>
      </c>
      <c r="H1068" t="s">
        <v>28</v>
      </c>
      <c r="I1068" t="s">
        <v>852</v>
      </c>
    </row>
    <row r="1069" spans="1:9" ht="11.25" customHeight="1">
      <c r="A1069" t="s">
        <v>2246</v>
      </c>
      <c r="B1069" t="s">
        <v>16</v>
      </c>
      <c r="C1069" t="s">
        <v>3807</v>
      </c>
      <c r="D1069" t="s">
        <v>3808</v>
      </c>
      <c r="E1069" t="s">
        <v>3809</v>
      </c>
      <c r="F1069" t="s">
        <v>2325</v>
      </c>
      <c r="G1069" t="s">
        <v>3810</v>
      </c>
      <c r="H1069" t="s">
        <v>28</v>
      </c>
      <c r="I1069" t="s">
        <v>852</v>
      </c>
    </row>
    <row r="1070" spans="1:9" ht="11.25" customHeight="1">
      <c r="A1070" t="s">
        <v>2246</v>
      </c>
      <c r="B1070" t="s">
        <v>16</v>
      </c>
      <c r="C1070" t="s">
        <v>3814</v>
      </c>
      <c r="D1070" t="s">
        <v>3815</v>
      </c>
      <c r="E1070" t="s">
        <v>3816</v>
      </c>
      <c r="F1070" t="s">
        <v>50</v>
      </c>
      <c r="G1070" t="s">
        <v>3817</v>
      </c>
      <c r="H1070" t="s">
        <v>28</v>
      </c>
      <c r="I1070" t="s">
        <v>852</v>
      </c>
    </row>
    <row r="1071" spans="1:9" ht="11.25" customHeight="1">
      <c r="A1071" t="s">
        <v>2246</v>
      </c>
      <c r="B1071" t="s">
        <v>16</v>
      </c>
      <c r="C1071" t="s">
        <v>3821</v>
      </c>
      <c r="D1071" t="s">
        <v>3822</v>
      </c>
      <c r="E1071" t="s">
        <v>3823</v>
      </c>
      <c r="F1071" t="s">
        <v>2325</v>
      </c>
      <c r="G1071" t="s">
        <v>28</v>
      </c>
      <c r="H1071" t="s">
        <v>28</v>
      </c>
      <c r="I1071" t="s">
        <v>852</v>
      </c>
    </row>
    <row r="1072" spans="1:9" ht="11.25" customHeight="1">
      <c r="A1072" t="s">
        <v>2246</v>
      </c>
      <c r="B1072" t="s">
        <v>16</v>
      </c>
      <c r="C1072" t="s">
        <v>4476</v>
      </c>
      <c r="D1072" t="s">
        <v>4477</v>
      </c>
      <c r="E1072" t="s">
        <v>4478</v>
      </c>
      <c r="F1072" t="s">
        <v>2384</v>
      </c>
      <c r="G1072" t="s">
        <v>4479</v>
      </c>
      <c r="H1072" t="s">
        <v>28</v>
      </c>
      <c r="I1072" t="s">
        <v>852</v>
      </c>
    </row>
    <row r="1073" spans="1:9" ht="11.25" customHeight="1">
      <c r="A1073" t="s">
        <v>2246</v>
      </c>
      <c r="B1073" t="s">
        <v>16</v>
      </c>
      <c r="C1073" t="s">
        <v>3824</v>
      </c>
      <c r="D1073" t="s">
        <v>3825</v>
      </c>
      <c r="E1073" t="s">
        <v>3826</v>
      </c>
      <c r="F1073" t="s">
        <v>2250</v>
      </c>
      <c r="G1073" t="s">
        <v>28</v>
      </c>
      <c r="H1073" t="s">
        <v>28</v>
      </c>
      <c r="I1073" t="s">
        <v>852</v>
      </c>
    </row>
    <row r="1074" spans="1:9" ht="11.25" customHeight="1">
      <c r="A1074" t="s">
        <v>2246</v>
      </c>
      <c r="B1074" t="s">
        <v>16</v>
      </c>
      <c r="C1074" t="s">
        <v>3827</v>
      </c>
      <c r="D1074" t="s">
        <v>3828</v>
      </c>
      <c r="E1074" t="s">
        <v>3829</v>
      </c>
      <c r="F1074" t="s">
        <v>2325</v>
      </c>
      <c r="G1074" t="s">
        <v>3830</v>
      </c>
      <c r="H1074" t="s">
        <v>28</v>
      </c>
      <c r="I1074" t="s">
        <v>852</v>
      </c>
    </row>
    <row r="1075" spans="1:9" ht="11.25" customHeight="1">
      <c r="A1075" t="s">
        <v>2246</v>
      </c>
      <c r="B1075" t="s">
        <v>16</v>
      </c>
      <c r="C1075" t="s">
        <v>3835</v>
      </c>
      <c r="D1075" t="s">
        <v>3836</v>
      </c>
      <c r="E1075" t="s">
        <v>3837</v>
      </c>
      <c r="F1075" t="s">
        <v>2384</v>
      </c>
      <c r="G1075" t="s">
        <v>3838</v>
      </c>
      <c r="H1075" t="s">
        <v>28</v>
      </c>
      <c r="I1075" t="s">
        <v>852</v>
      </c>
    </row>
    <row r="1076" spans="1:9" ht="11.25" customHeight="1">
      <c r="A1076" t="s">
        <v>2246</v>
      </c>
      <c r="B1076" t="s">
        <v>16</v>
      </c>
      <c r="C1076" t="s">
        <v>3842</v>
      </c>
      <c r="D1076" t="s">
        <v>3843</v>
      </c>
      <c r="E1076" t="s">
        <v>3844</v>
      </c>
      <c r="F1076" t="s">
        <v>2574</v>
      </c>
      <c r="G1076" t="s">
        <v>3845</v>
      </c>
      <c r="H1076" t="s">
        <v>28</v>
      </c>
      <c r="I1076" t="s">
        <v>852</v>
      </c>
    </row>
    <row r="1077" spans="1:9" ht="11.25" customHeight="1">
      <c r="A1077" t="s">
        <v>2246</v>
      </c>
      <c r="B1077" t="s">
        <v>16</v>
      </c>
      <c r="C1077" t="s">
        <v>3863</v>
      </c>
      <c r="D1077" t="s">
        <v>3864</v>
      </c>
      <c r="E1077" t="s">
        <v>3865</v>
      </c>
      <c r="F1077" t="s">
        <v>2582</v>
      </c>
      <c r="G1077" t="s">
        <v>28</v>
      </c>
      <c r="H1077" t="s">
        <v>28</v>
      </c>
      <c r="I1077" t="s">
        <v>852</v>
      </c>
    </row>
    <row r="1078" spans="1:9" ht="11.25" customHeight="1">
      <c r="A1078" t="s">
        <v>2246</v>
      </c>
      <c r="B1078" t="s">
        <v>16</v>
      </c>
      <c r="C1078" t="s">
        <v>3880</v>
      </c>
      <c r="D1078" t="s">
        <v>3881</v>
      </c>
      <c r="E1078" t="s">
        <v>3882</v>
      </c>
      <c r="F1078" t="s">
        <v>2250</v>
      </c>
      <c r="G1078" t="s">
        <v>3883</v>
      </c>
      <c r="H1078" t="s">
        <v>28</v>
      </c>
      <c r="I1078" t="s">
        <v>852</v>
      </c>
    </row>
    <row r="1079" spans="1:9" ht="11.25" customHeight="1">
      <c r="A1079" t="s">
        <v>2246</v>
      </c>
      <c r="B1079" t="s">
        <v>16</v>
      </c>
      <c r="C1079" t="s">
        <v>3884</v>
      </c>
      <c r="D1079" t="s">
        <v>3885</v>
      </c>
      <c r="E1079" t="s">
        <v>3886</v>
      </c>
      <c r="F1079" t="s">
        <v>2384</v>
      </c>
      <c r="G1079" t="s">
        <v>3887</v>
      </c>
      <c r="H1079" t="s">
        <v>28</v>
      </c>
      <c r="I1079" t="s">
        <v>852</v>
      </c>
    </row>
    <row r="1080" spans="1:9" ht="11.25" customHeight="1">
      <c r="A1080" t="s">
        <v>2246</v>
      </c>
      <c r="B1080" t="s">
        <v>16</v>
      </c>
      <c r="C1080" t="s">
        <v>3888</v>
      </c>
      <c r="D1080" t="s">
        <v>3889</v>
      </c>
      <c r="E1080" t="s">
        <v>3890</v>
      </c>
      <c r="F1080" t="s">
        <v>2332</v>
      </c>
      <c r="G1080" t="s">
        <v>3891</v>
      </c>
      <c r="H1080" t="s">
        <v>28</v>
      </c>
      <c r="I1080" t="s">
        <v>852</v>
      </c>
    </row>
    <row r="1081" spans="1:9" ht="11.25" customHeight="1">
      <c r="A1081" t="s">
        <v>2246</v>
      </c>
      <c r="B1081" t="s">
        <v>16</v>
      </c>
      <c r="C1081" t="s">
        <v>3895</v>
      </c>
      <c r="D1081" t="s">
        <v>3896</v>
      </c>
      <c r="E1081" t="s">
        <v>3897</v>
      </c>
      <c r="F1081" t="s">
        <v>2325</v>
      </c>
      <c r="G1081" t="s">
        <v>28</v>
      </c>
      <c r="H1081" t="s">
        <v>28</v>
      </c>
      <c r="I1081" t="s">
        <v>852</v>
      </c>
    </row>
    <row r="1082" spans="1:9" ht="11.25" customHeight="1">
      <c r="A1082" t="s">
        <v>2246</v>
      </c>
      <c r="B1082" t="s">
        <v>16</v>
      </c>
      <c r="C1082" t="s">
        <v>4480</v>
      </c>
      <c r="D1082" t="s">
        <v>4481</v>
      </c>
      <c r="E1082" t="s">
        <v>4482</v>
      </c>
      <c r="F1082" t="s">
        <v>3671</v>
      </c>
      <c r="G1082" t="s">
        <v>4483</v>
      </c>
      <c r="H1082" t="s">
        <v>28</v>
      </c>
      <c r="I1082" t="s">
        <v>852</v>
      </c>
    </row>
    <row r="1083" spans="1:9" ht="11.25" customHeight="1">
      <c r="A1083" t="s">
        <v>2246</v>
      </c>
      <c r="B1083" t="s">
        <v>16</v>
      </c>
      <c r="C1083" t="s">
        <v>3907</v>
      </c>
      <c r="D1083" t="s">
        <v>3908</v>
      </c>
      <c r="E1083" t="s">
        <v>3909</v>
      </c>
      <c r="F1083" t="s">
        <v>2989</v>
      </c>
      <c r="G1083" t="s">
        <v>28</v>
      </c>
      <c r="H1083" t="s">
        <v>28</v>
      </c>
      <c r="I1083" t="s">
        <v>852</v>
      </c>
    </row>
    <row r="1084" spans="1:9" ht="11.25" customHeight="1">
      <c r="A1084" t="s">
        <v>2246</v>
      </c>
      <c r="B1084" t="s">
        <v>16</v>
      </c>
      <c r="C1084" t="s">
        <v>3916</v>
      </c>
      <c r="D1084" t="s">
        <v>3917</v>
      </c>
      <c r="E1084" t="s">
        <v>3918</v>
      </c>
      <c r="F1084" t="s">
        <v>2574</v>
      </c>
      <c r="G1084" t="s">
        <v>28</v>
      </c>
      <c r="H1084" t="s">
        <v>28</v>
      </c>
      <c r="I1084" t="s">
        <v>852</v>
      </c>
    </row>
    <row r="1085" spans="1:9" ht="11.25" customHeight="1">
      <c r="A1085" t="s">
        <v>2246</v>
      </c>
      <c r="B1085" t="s">
        <v>16</v>
      </c>
      <c r="C1085" t="s">
        <v>3922</v>
      </c>
      <c r="D1085" t="s">
        <v>3923</v>
      </c>
      <c r="E1085" t="s">
        <v>3924</v>
      </c>
      <c r="F1085" t="s">
        <v>2343</v>
      </c>
      <c r="G1085" t="s">
        <v>28</v>
      </c>
      <c r="H1085" t="s">
        <v>28</v>
      </c>
      <c r="I1085" t="s">
        <v>852</v>
      </c>
    </row>
    <row r="1086" spans="1:9" ht="11.25" customHeight="1">
      <c r="A1086" t="s">
        <v>2246</v>
      </c>
      <c r="B1086" t="s">
        <v>16</v>
      </c>
      <c r="C1086" t="s">
        <v>3932</v>
      </c>
      <c r="D1086" t="s">
        <v>3933</v>
      </c>
      <c r="E1086" t="s">
        <v>3934</v>
      </c>
      <c r="F1086" t="s">
        <v>3935</v>
      </c>
      <c r="G1086" t="s">
        <v>3936</v>
      </c>
      <c r="H1086" t="s">
        <v>28</v>
      </c>
      <c r="I1086" t="s">
        <v>852</v>
      </c>
    </row>
    <row r="1087" spans="1:9" ht="11.25" customHeight="1">
      <c r="A1087" t="s">
        <v>2246</v>
      </c>
      <c r="B1087" t="s">
        <v>16</v>
      </c>
      <c r="C1087" t="s">
        <v>3948</v>
      </c>
      <c r="D1087" t="s">
        <v>3949</v>
      </c>
      <c r="E1087" t="s">
        <v>3950</v>
      </c>
      <c r="F1087" t="s">
        <v>2303</v>
      </c>
      <c r="G1087" t="s">
        <v>28</v>
      </c>
      <c r="H1087" t="s">
        <v>28</v>
      </c>
      <c r="I1087" t="s">
        <v>852</v>
      </c>
    </row>
    <row r="1088" spans="1:9" ht="11.25" customHeight="1">
      <c r="A1088" t="s">
        <v>2246</v>
      </c>
      <c r="B1088" t="s">
        <v>16</v>
      </c>
      <c r="C1088" t="s">
        <v>3951</v>
      </c>
      <c r="D1088" t="s">
        <v>3952</v>
      </c>
      <c r="E1088" t="s">
        <v>3953</v>
      </c>
      <c r="F1088" t="s">
        <v>2303</v>
      </c>
      <c r="G1088" t="s">
        <v>28</v>
      </c>
      <c r="H1088" t="s">
        <v>28</v>
      </c>
      <c r="I1088" t="s">
        <v>852</v>
      </c>
    </row>
    <row r="1089" spans="1:9" ht="11.25" customHeight="1">
      <c r="A1089" t="s">
        <v>2246</v>
      </c>
      <c r="B1089" t="s">
        <v>16</v>
      </c>
      <c r="C1089" t="s">
        <v>4484</v>
      </c>
      <c r="D1089" t="s">
        <v>4485</v>
      </c>
      <c r="E1089" t="s">
        <v>4486</v>
      </c>
      <c r="F1089" t="s">
        <v>2264</v>
      </c>
      <c r="G1089" t="s">
        <v>4487</v>
      </c>
      <c r="H1089" t="s">
        <v>28</v>
      </c>
      <c r="I1089" t="s">
        <v>852</v>
      </c>
    </row>
    <row r="1090" spans="1:9" ht="11.25" customHeight="1">
      <c r="A1090" t="s">
        <v>2246</v>
      </c>
      <c r="B1090" t="s">
        <v>16</v>
      </c>
      <c r="C1090" t="s">
        <v>3971</v>
      </c>
      <c r="D1090" t="s">
        <v>3972</v>
      </c>
      <c r="E1090" t="s">
        <v>3973</v>
      </c>
      <c r="F1090" t="s">
        <v>2582</v>
      </c>
      <c r="G1090" t="s">
        <v>28</v>
      </c>
      <c r="H1090" t="s">
        <v>28</v>
      </c>
      <c r="I1090" t="s">
        <v>852</v>
      </c>
    </row>
    <row r="1091" spans="1:9" ht="11.25" customHeight="1">
      <c r="A1091" t="s">
        <v>2246</v>
      </c>
      <c r="B1091" t="s">
        <v>16</v>
      </c>
      <c r="C1091" t="s">
        <v>3974</v>
      </c>
      <c r="D1091" t="s">
        <v>3975</v>
      </c>
      <c r="E1091" t="s">
        <v>3976</v>
      </c>
      <c r="F1091" t="s">
        <v>2758</v>
      </c>
      <c r="G1091" t="s">
        <v>28</v>
      </c>
      <c r="H1091" t="s">
        <v>28</v>
      </c>
      <c r="I1091" t="s">
        <v>852</v>
      </c>
    </row>
    <row r="1092" spans="1:9" ht="11.25" customHeight="1">
      <c r="A1092" t="s">
        <v>2246</v>
      </c>
      <c r="B1092" t="s">
        <v>16</v>
      </c>
      <c r="C1092" t="s">
        <v>3977</v>
      </c>
      <c r="D1092" t="s">
        <v>3978</v>
      </c>
      <c r="E1092" t="s">
        <v>3979</v>
      </c>
      <c r="F1092" t="s">
        <v>3793</v>
      </c>
      <c r="G1092" t="s">
        <v>3980</v>
      </c>
      <c r="H1092" t="s">
        <v>28</v>
      </c>
      <c r="I1092" t="s">
        <v>852</v>
      </c>
    </row>
    <row r="1093" spans="1:9" ht="11.25" customHeight="1">
      <c r="A1093" t="s">
        <v>2246</v>
      </c>
      <c r="B1093" t="s">
        <v>16</v>
      </c>
      <c r="C1093" t="s">
        <v>3981</v>
      </c>
      <c r="D1093" t="s">
        <v>3982</v>
      </c>
      <c r="E1093" t="s">
        <v>3983</v>
      </c>
      <c r="F1093" t="s">
        <v>2582</v>
      </c>
      <c r="G1093" t="s">
        <v>3984</v>
      </c>
      <c r="H1093" t="s">
        <v>28</v>
      </c>
      <c r="I1093" t="s">
        <v>852</v>
      </c>
    </row>
    <row r="1094" spans="1:9" ht="11.25" customHeight="1">
      <c r="A1094" t="s">
        <v>2246</v>
      </c>
      <c r="B1094" t="s">
        <v>16</v>
      </c>
      <c r="C1094" t="s">
        <v>3985</v>
      </c>
      <c r="D1094" t="s">
        <v>3986</v>
      </c>
      <c r="E1094" t="s">
        <v>3987</v>
      </c>
      <c r="F1094" t="s">
        <v>2313</v>
      </c>
      <c r="G1094" t="s">
        <v>28</v>
      </c>
      <c r="H1094" t="s">
        <v>28</v>
      </c>
      <c r="I1094" t="s">
        <v>852</v>
      </c>
    </row>
    <row r="1095" spans="1:9" ht="11.25" customHeight="1">
      <c r="A1095" t="s">
        <v>2246</v>
      </c>
      <c r="B1095" t="s">
        <v>16</v>
      </c>
      <c r="C1095" t="s">
        <v>4488</v>
      </c>
      <c r="D1095" t="s">
        <v>4489</v>
      </c>
      <c r="E1095" t="s">
        <v>4490</v>
      </c>
      <c r="F1095" t="s">
        <v>2560</v>
      </c>
      <c r="G1095" t="s">
        <v>28</v>
      </c>
      <c r="H1095" t="s">
        <v>28</v>
      </c>
      <c r="I1095" t="s">
        <v>852</v>
      </c>
    </row>
    <row r="1096" spans="1:9" ht="11.25" customHeight="1">
      <c r="A1096" t="s">
        <v>2246</v>
      </c>
      <c r="B1096" t="s">
        <v>16</v>
      </c>
      <c r="C1096" t="s">
        <v>4011</v>
      </c>
      <c r="D1096" t="s">
        <v>4012</v>
      </c>
      <c r="E1096" t="s">
        <v>2543</v>
      </c>
      <c r="F1096" t="s">
        <v>4013</v>
      </c>
      <c r="G1096" t="s">
        <v>28</v>
      </c>
      <c r="H1096" t="s">
        <v>28</v>
      </c>
      <c r="I1096" t="s">
        <v>852</v>
      </c>
    </row>
    <row r="1097" spans="1:9" ht="11.25" customHeight="1">
      <c r="A1097" t="s">
        <v>2246</v>
      </c>
      <c r="B1097" t="s">
        <v>16</v>
      </c>
      <c r="C1097" t="s">
        <v>4014</v>
      </c>
      <c r="D1097" t="s">
        <v>4015</v>
      </c>
      <c r="E1097" t="s">
        <v>2543</v>
      </c>
      <c r="F1097" t="s">
        <v>4016</v>
      </c>
      <c r="G1097" t="s">
        <v>28</v>
      </c>
      <c r="H1097" t="s">
        <v>28</v>
      </c>
      <c r="I1097" t="s">
        <v>852</v>
      </c>
    </row>
    <row r="1098" spans="1:9" ht="11.25" customHeight="1">
      <c r="A1098" t="s">
        <v>2246</v>
      </c>
      <c r="B1098" t="s">
        <v>16</v>
      </c>
      <c r="C1098" t="s">
        <v>4020</v>
      </c>
      <c r="D1098" t="s">
        <v>4021</v>
      </c>
      <c r="E1098" t="s">
        <v>4022</v>
      </c>
      <c r="F1098" t="s">
        <v>3858</v>
      </c>
      <c r="G1098" t="s">
        <v>28</v>
      </c>
      <c r="H1098" t="s">
        <v>28</v>
      </c>
      <c r="I1098" t="s">
        <v>852</v>
      </c>
    </row>
    <row r="1099" spans="1:9" ht="11.25" customHeight="1">
      <c r="A1099" t="s">
        <v>2246</v>
      </c>
      <c r="B1099" t="s">
        <v>16</v>
      </c>
      <c r="C1099" t="s">
        <v>4023</v>
      </c>
      <c r="D1099" t="s">
        <v>4024</v>
      </c>
      <c r="E1099" t="s">
        <v>4025</v>
      </c>
      <c r="F1099" t="s">
        <v>2360</v>
      </c>
      <c r="G1099" t="s">
        <v>3656</v>
      </c>
      <c r="H1099" t="s">
        <v>28</v>
      </c>
      <c r="I1099" t="s">
        <v>852</v>
      </c>
    </row>
    <row r="1100" spans="1:9" ht="11.25" customHeight="1">
      <c r="A1100" t="s">
        <v>2246</v>
      </c>
      <c r="B1100" t="s">
        <v>16</v>
      </c>
      <c r="C1100" t="s">
        <v>4491</v>
      </c>
      <c r="D1100" t="s">
        <v>4492</v>
      </c>
      <c r="E1100" t="s">
        <v>4493</v>
      </c>
      <c r="F1100" t="s">
        <v>2313</v>
      </c>
      <c r="G1100" t="s">
        <v>28</v>
      </c>
      <c r="H1100" t="s">
        <v>28</v>
      </c>
      <c r="I1100" t="s">
        <v>852</v>
      </c>
    </row>
    <row r="1101" spans="1:9" ht="11.25" customHeight="1">
      <c r="A1101" t="s">
        <v>2246</v>
      </c>
      <c r="B1101" t="s">
        <v>16</v>
      </c>
      <c r="C1101" t="s">
        <v>4035</v>
      </c>
      <c r="D1101" t="s">
        <v>4036</v>
      </c>
      <c r="E1101" t="s">
        <v>4037</v>
      </c>
      <c r="F1101" t="s">
        <v>2352</v>
      </c>
      <c r="G1101" t="s">
        <v>28</v>
      </c>
      <c r="H1101" t="s">
        <v>28</v>
      </c>
      <c r="I1101" t="s">
        <v>852</v>
      </c>
    </row>
    <row r="1102" spans="1:9" ht="11.25" customHeight="1">
      <c r="A1102" t="s">
        <v>2246</v>
      </c>
      <c r="B1102" t="s">
        <v>16</v>
      </c>
      <c r="C1102" t="s">
        <v>4038</v>
      </c>
      <c r="D1102" t="s">
        <v>4039</v>
      </c>
      <c r="E1102" t="s">
        <v>4040</v>
      </c>
      <c r="F1102" t="s">
        <v>2268</v>
      </c>
      <c r="G1102" t="s">
        <v>28</v>
      </c>
      <c r="H1102" t="s">
        <v>28</v>
      </c>
      <c r="I1102" t="s">
        <v>852</v>
      </c>
    </row>
    <row r="1103" spans="1:9" ht="11.25" customHeight="1">
      <c r="A1103" t="s">
        <v>2246</v>
      </c>
      <c r="B1103" t="s">
        <v>16</v>
      </c>
      <c r="C1103" t="s">
        <v>4044</v>
      </c>
      <c r="D1103" t="s">
        <v>4045</v>
      </c>
      <c r="E1103" t="s">
        <v>4046</v>
      </c>
      <c r="F1103" t="s">
        <v>4047</v>
      </c>
      <c r="G1103" t="s">
        <v>28</v>
      </c>
      <c r="H1103" t="s">
        <v>28</v>
      </c>
      <c r="I1103" t="s">
        <v>852</v>
      </c>
    </row>
    <row r="1104" spans="1:9" ht="11.25" customHeight="1">
      <c r="A1104" t="s">
        <v>2246</v>
      </c>
      <c r="B1104" t="s">
        <v>16</v>
      </c>
      <c r="C1104" t="s">
        <v>4048</v>
      </c>
      <c r="D1104" t="s">
        <v>4049</v>
      </c>
      <c r="E1104" t="s">
        <v>4050</v>
      </c>
      <c r="F1104" t="s">
        <v>2574</v>
      </c>
      <c r="G1104" t="s">
        <v>3656</v>
      </c>
      <c r="H1104" t="s">
        <v>28</v>
      </c>
      <c r="I1104" t="s">
        <v>852</v>
      </c>
    </row>
    <row r="1105" spans="1:9" ht="11.25" customHeight="1">
      <c r="A1105" t="s">
        <v>2246</v>
      </c>
      <c r="B1105" t="s">
        <v>16</v>
      </c>
      <c r="C1105" t="s">
        <v>4051</v>
      </c>
      <c r="D1105" t="s">
        <v>4052</v>
      </c>
      <c r="E1105" t="s">
        <v>4053</v>
      </c>
      <c r="F1105" t="s">
        <v>2370</v>
      </c>
      <c r="G1105" t="s">
        <v>28</v>
      </c>
      <c r="H1105" t="s">
        <v>28</v>
      </c>
      <c r="I1105" t="s">
        <v>852</v>
      </c>
    </row>
    <row r="1106" spans="1:9" ht="11.25" customHeight="1">
      <c r="A1106" t="s">
        <v>2246</v>
      </c>
      <c r="B1106" t="s">
        <v>16</v>
      </c>
      <c r="C1106" t="s">
        <v>4058</v>
      </c>
      <c r="D1106" t="s">
        <v>4059</v>
      </c>
      <c r="E1106" t="s">
        <v>4060</v>
      </c>
      <c r="F1106" t="s">
        <v>2384</v>
      </c>
      <c r="G1106" t="s">
        <v>28</v>
      </c>
      <c r="H1106" t="s">
        <v>28</v>
      </c>
      <c r="I1106" t="s">
        <v>852</v>
      </c>
    </row>
    <row r="1107" spans="1:9" ht="11.25" customHeight="1">
      <c r="A1107" t="s">
        <v>2246</v>
      </c>
      <c r="B1107" t="s">
        <v>16</v>
      </c>
      <c r="C1107" t="s">
        <v>4494</v>
      </c>
      <c r="D1107" t="s">
        <v>4495</v>
      </c>
      <c r="E1107" t="s">
        <v>4496</v>
      </c>
      <c r="F1107" t="s">
        <v>2268</v>
      </c>
      <c r="G1107" t="s">
        <v>4497</v>
      </c>
      <c r="H1107" t="s">
        <v>28</v>
      </c>
      <c r="I1107" t="s">
        <v>852</v>
      </c>
    </row>
    <row r="1108" spans="1:9" ht="11.25" customHeight="1">
      <c r="A1108" t="s">
        <v>2246</v>
      </c>
      <c r="B1108" t="s">
        <v>16</v>
      </c>
      <c r="C1108" t="s">
        <v>4064</v>
      </c>
      <c r="D1108" t="s">
        <v>4065</v>
      </c>
      <c r="E1108" t="s">
        <v>4066</v>
      </c>
      <c r="F1108" t="s">
        <v>2370</v>
      </c>
      <c r="G1108" t="s">
        <v>28</v>
      </c>
      <c r="H1108" t="s">
        <v>28</v>
      </c>
      <c r="I1108" t="s">
        <v>852</v>
      </c>
    </row>
    <row r="1109" spans="1:9" ht="11.25" customHeight="1">
      <c r="A1109" t="s">
        <v>2246</v>
      </c>
      <c r="B1109" t="s">
        <v>16</v>
      </c>
      <c r="C1109" t="s">
        <v>4067</v>
      </c>
      <c r="D1109" t="s">
        <v>4068</v>
      </c>
      <c r="E1109" t="s">
        <v>4069</v>
      </c>
      <c r="F1109" t="s">
        <v>2313</v>
      </c>
      <c r="G1109" t="s">
        <v>4070</v>
      </c>
      <c r="H1109" t="s">
        <v>28</v>
      </c>
      <c r="I1109" t="s">
        <v>852</v>
      </c>
    </row>
    <row r="1110" spans="1:9" ht="11.25" customHeight="1">
      <c r="A1110" t="s">
        <v>2246</v>
      </c>
      <c r="B1110" t="s">
        <v>16</v>
      </c>
      <c r="C1110" t="s">
        <v>4071</v>
      </c>
      <c r="D1110" t="s">
        <v>4072</v>
      </c>
      <c r="E1110" t="s">
        <v>4073</v>
      </c>
      <c r="F1110" t="s">
        <v>2343</v>
      </c>
      <c r="G1110" t="s">
        <v>4074</v>
      </c>
      <c r="H1110" t="s">
        <v>28</v>
      </c>
      <c r="I1110" t="s">
        <v>852</v>
      </c>
    </row>
    <row r="1111" spans="1:9" ht="11.25" customHeight="1">
      <c r="A1111" t="s">
        <v>2246</v>
      </c>
      <c r="B1111" t="s">
        <v>16</v>
      </c>
      <c r="C1111" t="s">
        <v>4075</v>
      </c>
      <c r="D1111" t="s">
        <v>4076</v>
      </c>
      <c r="E1111" t="s">
        <v>4077</v>
      </c>
      <c r="F1111" t="s">
        <v>3188</v>
      </c>
      <c r="G1111" t="s">
        <v>4078</v>
      </c>
      <c r="H1111" t="s">
        <v>28</v>
      </c>
      <c r="I1111" t="s">
        <v>852</v>
      </c>
    </row>
    <row r="1112" spans="1:9" ht="11.25" customHeight="1">
      <c r="A1112" t="s">
        <v>2246</v>
      </c>
      <c r="B1112" t="s">
        <v>16</v>
      </c>
      <c r="C1112" t="s">
        <v>4079</v>
      </c>
      <c r="D1112" t="s">
        <v>4080</v>
      </c>
      <c r="E1112" t="s">
        <v>4081</v>
      </c>
      <c r="F1112" t="s">
        <v>4082</v>
      </c>
      <c r="G1112" t="s">
        <v>4083</v>
      </c>
      <c r="H1112" t="s">
        <v>28</v>
      </c>
      <c r="I1112" t="s">
        <v>852</v>
      </c>
    </row>
    <row r="1113" spans="1:9" ht="11.25" customHeight="1">
      <c r="A1113" t="s">
        <v>2246</v>
      </c>
      <c r="B1113" t="s">
        <v>16</v>
      </c>
      <c r="C1113" t="s">
        <v>4088</v>
      </c>
      <c r="D1113" t="s">
        <v>4089</v>
      </c>
      <c r="E1113" t="s">
        <v>4090</v>
      </c>
      <c r="F1113" t="s">
        <v>2332</v>
      </c>
      <c r="G1113" t="s">
        <v>28</v>
      </c>
      <c r="H1113" t="s">
        <v>28</v>
      </c>
      <c r="I1113" t="s">
        <v>852</v>
      </c>
    </row>
    <row r="1114" spans="1:9" ht="11.25" customHeight="1">
      <c r="A1114" t="s">
        <v>2246</v>
      </c>
      <c r="B1114" t="s">
        <v>16</v>
      </c>
      <c r="C1114" t="s">
        <v>4091</v>
      </c>
      <c r="D1114" t="s">
        <v>4092</v>
      </c>
      <c r="E1114" t="s">
        <v>4060</v>
      </c>
      <c r="F1114" t="s">
        <v>4093</v>
      </c>
      <c r="G1114" t="s">
        <v>28</v>
      </c>
      <c r="H1114" t="s">
        <v>28</v>
      </c>
      <c r="I1114" t="s">
        <v>852</v>
      </c>
    </row>
    <row r="1115" spans="1:9" ht="11.25" customHeight="1">
      <c r="A1115" t="s">
        <v>2246</v>
      </c>
      <c r="B1115" t="s">
        <v>16</v>
      </c>
      <c r="C1115" t="s">
        <v>4094</v>
      </c>
      <c r="D1115" t="s">
        <v>4095</v>
      </c>
      <c r="E1115" t="s">
        <v>4060</v>
      </c>
      <c r="F1115" t="s">
        <v>2819</v>
      </c>
      <c r="G1115" t="s">
        <v>4096</v>
      </c>
      <c r="H1115" t="s">
        <v>28</v>
      </c>
      <c r="I1115" t="s">
        <v>852</v>
      </c>
    </row>
    <row r="1116" spans="1:9" ht="11.25" customHeight="1">
      <c r="A1116" t="s">
        <v>2246</v>
      </c>
      <c r="B1116" t="s">
        <v>16</v>
      </c>
      <c r="C1116" t="s">
        <v>4097</v>
      </c>
      <c r="D1116" t="s">
        <v>4098</v>
      </c>
      <c r="E1116" t="s">
        <v>4099</v>
      </c>
      <c r="F1116" t="s">
        <v>2536</v>
      </c>
      <c r="G1116" t="s">
        <v>28</v>
      </c>
      <c r="H1116" t="s">
        <v>28</v>
      </c>
      <c r="I1116" t="s">
        <v>852</v>
      </c>
    </row>
    <row r="1117" spans="1:9" ht="11.25" customHeight="1">
      <c r="A1117" t="s">
        <v>2246</v>
      </c>
      <c r="B1117" t="s">
        <v>16</v>
      </c>
      <c r="C1117" t="s">
        <v>28</v>
      </c>
      <c r="D1117" t="s">
        <v>4100</v>
      </c>
      <c r="E1117" t="s">
        <v>4101</v>
      </c>
      <c r="F1117" t="s">
        <v>2384</v>
      </c>
      <c r="G1117" t="s">
        <v>28</v>
      </c>
      <c r="H1117" t="s">
        <v>28</v>
      </c>
      <c r="I1117" t="s">
        <v>852</v>
      </c>
    </row>
    <row r="1118" spans="1:9" ht="11.25" customHeight="1">
      <c r="A1118" t="s">
        <v>2246</v>
      </c>
      <c r="B1118" t="s">
        <v>16</v>
      </c>
      <c r="C1118" t="s">
        <v>4498</v>
      </c>
      <c r="D1118" t="s">
        <v>4499</v>
      </c>
      <c r="E1118" t="s">
        <v>4500</v>
      </c>
      <c r="F1118" t="s">
        <v>4501</v>
      </c>
      <c r="G1118" t="s">
        <v>28</v>
      </c>
      <c r="H1118" t="s">
        <v>28</v>
      </c>
      <c r="I1118" t="s">
        <v>852</v>
      </c>
    </row>
    <row r="1119" spans="1:9" ht="11.25" customHeight="1">
      <c r="A1119" t="s">
        <v>2246</v>
      </c>
      <c r="B1119" t="s">
        <v>16</v>
      </c>
      <c r="C1119" t="s">
        <v>4502</v>
      </c>
      <c r="D1119" t="s">
        <v>4503</v>
      </c>
      <c r="E1119" t="s">
        <v>4504</v>
      </c>
      <c r="F1119" t="s">
        <v>3691</v>
      </c>
      <c r="G1119" t="s">
        <v>28</v>
      </c>
      <c r="H1119" t="s">
        <v>28</v>
      </c>
      <c r="I1119" t="s">
        <v>852</v>
      </c>
    </row>
    <row r="1120" spans="1:9" ht="11.25" customHeight="1">
      <c r="A1120" t="s">
        <v>2246</v>
      </c>
      <c r="B1120" t="s">
        <v>16</v>
      </c>
      <c r="C1120" t="s">
        <v>4102</v>
      </c>
      <c r="D1120" t="s">
        <v>4103</v>
      </c>
      <c r="E1120" t="s">
        <v>4104</v>
      </c>
      <c r="F1120" t="s">
        <v>2286</v>
      </c>
      <c r="G1120" t="s">
        <v>4105</v>
      </c>
      <c r="H1120" t="s">
        <v>28</v>
      </c>
      <c r="I1120" t="s">
        <v>852</v>
      </c>
    </row>
    <row r="1121" spans="1:9" ht="11.25" customHeight="1">
      <c r="A1121" t="s">
        <v>2246</v>
      </c>
      <c r="B1121" t="s">
        <v>16</v>
      </c>
      <c r="C1121" t="s">
        <v>4505</v>
      </c>
      <c r="D1121" t="s">
        <v>4506</v>
      </c>
      <c r="E1121" t="s">
        <v>4507</v>
      </c>
      <c r="F1121" t="s">
        <v>3691</v>
      </c>
      <c r="G1121" t="s">
        <v>4508</v>
      </c>
      <c r="H1121" t="s">
        <v>28</v>
      </c>
      <c r="I1121" t="s">
        <v>852</v>
      </c>
    </row>
    <row r="1122" spans="1:9" ht="11.25" customHeight="1">
      <c r="A1122" t="s">
        <v>2246</v>
      </c>
      <c r="B1122" t="s">
        <v>16</v>
      </c>
      <c r="C1122" t="s">
        <v>4509</v>
      </c>
      <c r="D1122" t="s">
        <v>4510</v>
      </c>
      <c r="E1122" t="s">
        <v>4511</v>
      </c>
      <c r="F1122" t="s">
        <v>2582</v>
      </c>
      <c r="G1122" t="s">
        <v>28</v>
      </c>
      <c r="H1122" t="s">
        <v>28</v>
      </c>
      <c r="I1122" t="s">
        <v>852</v>
      </c>
    </row>
    <row r="1123" spans="1:9" ht="11.25" customHeight="1">
      <c r="A1123" t="s">
        <v>2246</v>
      </c>
      <c r="B1123" t="s">
        <v>16</v>
      </c>
      <c r="C1123" t="s">
        <v>4512</v>
      </c>
      <c r="D1123" t="s">
        <v>4513</v>
      </c>
      <c r="E1123" t="s">
        <v>4514</v>
      </c>
      <c r="F1123" t="s">
        <v>2910</v>
      </c>
      <c r="G1123" t="s">
        <v>28</v>
      </c>
      <c r="H1123" t="s">
        <v>28</v>
      </c>
      <c r="I1123" t="s">
        <v>852</v>
      </c>
    </row>
    <row r="1124" spans="1:9" ht="11.25" customHeight="1">
      <c r="A1124" t="s">
        <v>2246</v>
      </c>
      <c r="B1124" t="s">
        <v>16</v>
      </c>
      <c r="C1124" t="s">
        <v>4515</v>
      </c>
      <c r="D1124" t="s">
        <v>4516</v>
      </c>
      <c r="E1124" t="s">
        <v>4517</v>
      </c>
      <c r="F1124" t="s">
        <v>2687</v>
      </c>
      <c r="G1124" t="s">
        <v>28</v>
      </c>
      <c r="H1124" t="s">
        <v>28</v>
      </c>
      <c r="I1124" t="s">
        <v>852</v>
      </c>
    </row>
    <row r="1125" spans="1:9" ht="11.25" customHeight="1">
      <c r="A1125" t="s">
        <v>2246</v>
      </c>
      <c r="B1125" t="s">
        <v>16</v>
      </c>
      <c r="C1125" t="s">
        <v>4518</v>
      </c>
      <c r="D1125" t="s">
        <v>4519</v>
      </c>
      <c r="E1125" t="s">
        <v>4520</v>
      </c>
      <c r="F1125" t="s">
        <v>2286</v>
      </c>
      <c r="G1125" t="s">
        <v>28</v>
      </c>
      <c r="H1125" t="s">
        <v>28</v>
      </c>
      <c r="I1125" t="s">
        <v>852</v>
      </c>
    </row>
    <row r="1126" spans="1:9" ht="11.25" customHeight="1">
      <c r="A1126" t="s">
        <v>2246</v>
      </c>
      <c r="B1126" t="s">
        <v>16</v>
      </c>
      <c r="C1126" t="s">
        <v>4521</v>
      </c>
      <c r="D1126" t="s">
        <v>4522</v>
      </c>
      <c r="E1126" t="s">
        <v>4523</v>
      </c>
      <c r="F1126" t="s">
        <v>2906</v>
      </c>
      <c r="G1126" t="s">
        <v>28</v>
      </c>
      <c r="H1126" t="s">
        <v>28</v>
      </c>
      <c r="I1126" t="s">
        <v>852</v>
      </c>
    </row>
    <row r="1127" spans="1:9" ht="11.25" customHeight="1">
      <c r="A1127" t="s">
        <v>2246</v>
      </c>
      <c r="B1127" t="s">
        <v>16</v>
      </c>
      <c r="C1127" t="s">
        <v>4524</v>
      </c>
      <c r="D1127" t="s">
        <v>4525</v>
      </c>
      <c r="E1127" t="s">
        <v>4526</v>
      </c>
      <c r="F1127" t="s">
        <v>2286</v>
      </c>
      <c r="G1127" t="s">
        <v>28</v>
      </c>
      <c r="H1127" t="s">
        <v>28</v>
      </c>
      <c r="I1127" t="s">
        <v>852</v>
      </c>
    </row>
    <row r="1128" spans="1:9" ht="11.25" customHeight="1">
      <c r="A1128" t="s">
        <v>2246</v>
      </c>
      <c r="B1128" t="s">
        <v>16</v>
      </c>
      <c r="C1128" t="s">
        <v>4527</v>
      </c>
      <c r="D1128" t="s">
        <v>4528</v>
      </c>
      <c r="E1128" t="s">
        <v>4529</v>
      </c>
      <c r="F1128" t="s">
        <v>2268</v>
      </c>
      <c r="G1128" t="s">
        <v>4530</v>
      </c>
      <c r="H1128" t="s">
        <v>28</v>
      </c>
      <c r="I1128" t="s">
        <v>852</v>
      </c>
    </row>
    <row r="1129" spans="1:9" ht="11.25" customHeight="1">
      <c r="A1129" t="s">
        <v>2246</v>
      </c>
      <c r="B1129" t="s">
        <v>16</v>
      </c>
      <c r="C1129" t="s">
        <v>4124</v>
      </c>
      <c r="D1129" t="s">
        <v>4125</v>
      </c>
      <c r="E1129" t="s">
        <v>4126</v>
      </c>
      <c r="F1129" t="s">
        <v>2250</v>
      </c>
      <c r="G1129" t="s">
        <v>4127</v>
      </c>
      <c r="H1129" t="s">
        <v>28</v>
      </c>
      <c r="I1129" t="s">
        <v>852</v>
      </c>
    </row>
    <row r="1130" spans="1:9" ht="11.25" customHeight="1">
      <c r="A1130" t="s">
        <v>2246</v>
      </c>
      <c r="B1130" t="s">
        <v>16</v>
      </c>
      <c r="C1130" t="s">
        <v>4128</v>
      </c>
      <c r="D1130" t="s">
        <v>4129</v>
      </c>
      <c r="E1130" t="s">
        <v>4130</v>
      </c>
      <c r="F1130" t="s">
        <v>4131</v>
      </c>
      <c r="G1130" t="s">
        <v>28</v>
      </c>
      <c r="H1130" t="s">
        <v>28</v>
      </c>
      <c r="I1130" t="s">
        <v>852</v>
      </c>
    </row>
    <row r="1131" spans="1:9" ht="11.25" customHeight="1">
      <c r="A1131" t="s">
        <v>2246</v>
      </c>
      <c r="B1131" t="s">
        <v>16</v>
      </c>
      <c r="C1131" t="s">
        <v>4147</v>
      </c>
      <c r="D1131" t="s">
        <v>4148</v>
      </c>
      <c r="E1131" t="s">
        <v>4149</v>
      </c>
      <c r="F1131" t="s">
        <v>2384</v>
      </c>
      <c r="G1131" t="s">
        <v>28</v>
      </c>
      <c r="H1131" t="s">
        <v>28</v>
      </c>
      <c r="I1131" t="s">
        <v>852</v>
      </c>
    </row>
    <row r="1132" spans="1:9" ht="11.25" customHeight="1">
      <c r="A1132" t="s">
        <v>2246</v>
      </c>
      <c r="B1132" t="s">
        <v>16</v>
      </c>
      <c r="C1132" t="s">
        <v>4157</v>
      </c>
      <c r="D1132" t="s">
        <v>4158</v>
      </c>
      <c r="E1132" t="s">
        <v>4159</v>
      </c>
      <c r="F1132" t="s">
        <v>2384</v>
      </c>
      <c r="G1132" t="s">
        <v>28</v>
      </c>
      <c r="H1132" t="s">
        <v>28</v>
      </c>
      <c r="I1132" t="s">
        <v>852</v>
      </c>
    </row>
    <row r="1133" spans="1:9" ht="11.25" customHeight="1">
      <c r="A1133" t="s">
        <v>2246</v>
      </c>
      <c r="B1133" t="s">
        <v>16</v>
      </c>
      <c r="C1133" t="s">
        <v>4163</v>
      </c>
      <c r="D1133" t="s">
        <v>4164</v>
      </c>
      <c r="E1133" t="s">
        <v>4165</v>
      </c>
      <c r="F1133" t="s">
        <v>2360</v>
      </c>
      <c r="G1133" t="s">
        <v>4166</v>
      </c>
      <c r="H1133" t="s">
        <v>28</v>
      </c>
      <c r="I1133" t="s">
        <v>852</v>
      </c>
    </row>
    <row r="1134" spans="1:9" ht="11.25" customHeight="1">
      <c r="A1134" t="s">
        <v>2246</v>
      </c>
      <c r="B1134" t="s">
        <v>16</v>
      </c>
      <c r="C1134" t="s">
        <v>4167</v>
      </c>
      <c r="D1134" t="s">
        <v>4168</v>
      </c>
      <c r="E1134" t="s">
        <v>4169</v>
      </c>
      <c r="F1134" t="s">
        <v>2574</v>
      </c>
      <c r="G1134" t="s">
        <v>28</v>
      </c>
      <c r="H1134" t="s">
        <v>28</v>
      </c>
      <c r="I1134" t="s">
        <v>852</v>
      </c>
    </row>
    <row r="1135" spans="1:9" ht="11.25" customHeight="1">
      <c r="A1135" t="s">
        <v>2246</v>
      </c>
      <c r="B1135" t="s">
        <v>16</v>
      </c>
      <c r="C1135" t="s">
        <v>4531</v>
      </c>
      <c r="D1135" t="s">
        <v>4532</v>
      </c>
      <c r="E1135" t="s">
        <v>4533</v>
      </c>
      <c r="F1135" t="s">
        <v>2290</v>
      </c>
      <c r="G1135" t="s">
        <v>28</v>
      </c>
      <c r="H1135" t="s">
        <v>28</v>
      </c>
      <c r="I1135" t="s">
        <v>852</v>
      </c>
    </row>
    <row r="1136" spans="1:9" ht="11.25" customHeight="1">
      <c r="A1136" t="s">
        <v>2246</v>
      </c>
      <c r="B1136" t="s">
        <v>16</v>
      </c>
      <c r="C1136" t="s">
        <v>4173</v>
      </c>
      <c r="D1136" t="s">
        <v>4174</v>
      </c>
      <c r="E1136" t="s">
        <v>4149</v>
      </c>
      <c r="F1136" t="s">
        <v>2750</v>
      </c>
      <c r="G1136" t="s">
        <v>4175</v>
      </c>
      <c r="H1136" t="s">
        <v>28</v>
      </c>
      <c r="I1136" t="s">
        <v>852</v>
      </c>
    </row>
    <row r="1137" spans="1:9" ht="11.25" customHeight="1">
      <c r="A1137" t="s">
        <v>2246</v>
      </c>
      <c r="B1137" t="s">
        <v>16</v>
      </c>
      <c r="C1137" t="s">
        <v>4179</v>
      </c>
      <c r="D1137" t="s">
        <v>4180</v>
      </c>
      <c r="E1137" t="s">
        <v>4081</v>
      </c>
      <c r="F1137" t="s">
        <v>4181</v>
      </c>
      <c r="G1137" t="s">
        <v>4182</v>
      </c>
      <c r="H1137" t="s">
        <v>28</v>
      </c>
      <c r="I1137" t="s">
        <v>852</v>
      </c>
    </row>
    <row r="1138" spans="1:9" ht="11.25" customHeight="1">
      <c r="A1138" t="s">
        <v>2246</v>
      </c>
      <c r="B1138" t="s">
        <v>16</v>
      </c>
      <c r="C1138" t="s">
        <v>4183</v>
      </c>
      <c r="D1138" t="s">
        <v>4184</v>
      </c>
      <c r="E1138" t="s">
        <v>2573</v>
      </c>
      <c r="F1138" t="s">
        <v>4185</v>
      </c>
      <c r="G1138" t="s">
        <v>28</v>
      </c>
      <c r="H1138" t="s">
        <v>28</v>
      </c>
      <c r="I1138" t="s">
        <v>852</v>
      </c>
    </row>
    <row r="1139" spans="1:9" ht="11.25" customHeight="1">
      <c r="A1139" t="s">
        <v>2246</v>
      </c>
      <c r="B1139" t="s">
        <v>16</v>
      </c>
      <c r="C1139" t="s">
        <v>4186</v>
      </c>
      <c r="D1139" t="s">
        <v>4187</v>
      </c>
      <c r="E1139" t="s">
        <v>2573</v>
      </c>
      <c r="F1139" t="s">
        <v>2668</v>
      </c>
      <c r="G1139" t="s">
        <v>4188</v>
      </c>
      <c r="H1139" t="s">
        <v>28</v>
      </c>
      <c r="I1139" t="s">
        <v>852</v>
      </c>
    </row>
    <row r="1140" spans="1:9" ht="11.25" customHeight="1">
      <c r="A1140" t="s">
        <v>2246</v>
      </c>
      <c r="B1140" t="s">
        <v>16</v>
      </c>
      <c r="C1140" t="s">
        <v>4197</v>
      </c>
      <c r="D1140" t="s">
        <v>4198</v>
      </c>
      <c r="E1140" t="s">
        <v>4199</v>
      </c>
      <c r="F1140" t="s">
        <v>4200</v>
      </c>
      <c r="G1140" t="s">
        <v>28</v>
      </c>
      <c r="H1140" t="s">
        <v>28</v>
      </c>
      <c r="I1140" t="s">
        <v>852</v>
      </c>
    </row>
    <row r="1141" spans="1:9" ht="11.25" customHeight="1">
      <c r="A1141" t="s">
        <v>2246</v>
      </c>
      <c r="B1141" t="s">
        <v>16</v>
      </c>
      <c r="C1141" t="s">
        <v>2247</v>
      </c>
      <c r="D1141" t="s">
        <v>2248</v>
      </c>
      <c r="E1141" t="s">
        <v>2249</v>
      </c>
      <c r="F1141" t="s">
        <v>2250</v>
      </c>
      <c r="G1141" t="s">
        <v>2251</v>
      </c>
      <c r="H1141" t="s">
        <v>28</v>
      </c>
      <c r="I1141" t="s">
        <v>905</v>
      </c>
    </row>
    <row r="1142" spans="1:9" ht="11.25" customHeight="1">
      <c r="A1142" t="s">
        <v>2246</v>
      </c>
      <c r="B1142" t="s">
        <v>16</v>
      </c>
      <c r="C1142" t="s">
        <v>4210</v>
      </c>
      <c r="D1142" t="s">
        <v>4211</v>
      </c>
      <c r="E1142" t="s">
        <v>4212</v>
      </c>
      <c r="F1142" t="s">
        <v>2303</v>
      </c>
      <c r="G1142" t="s">
        <v>28</v>
      </c>
      <c r="H1142" t="s">
        <v>28</v>
      </c>
      <c r="I1142" t="s">
        <v>905</v>
      </c>
    </row>
    <row r="1143" spans="1:9" ht="11.25" customHeight="1">
      <c r="A1143" t="s">
        <v>2246</v>
      </c>
      <c r="B1143" t="s">
        <v>16</v>
      </c>
      <c r="C1143" t="s">
        <v>2256</v>
      </c>
      <c r="D1143" t="s">
        <v>2257</v>
      </c>
      <c r="E1143" t="s">
        <v>2258</v>
      </c>
      <c r="F1143" t="s">
        <v>2259</v>
      </c>
      <c r="G1143" t="s">
        <v>2260</v>
      </c>
      <c r="H1143" t="s">
        <v>28</v>
      </c>
      <c r="I1143" t="s">
        <v>905</v>
      </c>
    </row>
    <row r="1144" spans="1:9" ht="11.25" customHeight="1">
      <c r="A1144" t="s">
        <v>2246</v>
      </c>
      <c r="B1144" t="s">
        <v>16</v>
      </c>
      <c r="C1144" t="s">
        <v>2274</v>
      </c>
      <c r="D1144" t="s">
        <v>2275</v>
      </c>
      <c r="E1144" t="s">
        <v>2276</v>
      </c>
      <c r="F1144" t="s">
        <v>2277</v>
      </c>
      <c r="G1144" t="s">
        <v>28</v>
      </c>
      <c r="H1144" t="s">
        <v>28</v>
      </c>
      <c r="I1144" t="s">
        <v>905</v>
      </c>
    </row>
    <row r="1145" spans="1:9" ht="11.25" customHeight="1">
      <c r="A1145" t="s">
        <v>2246</v>
      </c>
      <c r="B1145" t="s">
        <v>16</v>
      </c>
      <c r="C1145" t="s">
        <v>2292</v>
      </c>
      <c r="D1145" t="s">
        <v>2293</v>
      </c>
      <c r="E1145" t="s">
        <v>2294</v>
      </c>
      <c r="F1145" t="s">
        <v>2295</v>
      </c>
      <c r="G1145" t="s">
        <v>28</v>
      </c>
      <c r="H1145" t="s">
        <v>28</v>
      </c>
      <c r="I1145" t="s">
        <v>905</v>
      </c>
    </row>
    <row r="1146" spans="1:9" ht="11.25" customHeight="1">
      <c r="A1146" t="s">
        <v>2246</v>
      </c>
      <c r="B1146" t="s">
        <v>16</v>
      </c>
      <c r="C1146" t="s">
        <v>2300</v>
      </c>
      <c r="D1146" t="s">
        <v>2301</v>
      </c>
      <c r="E1146" t="s">
        <v>2302</v>
      </c>
      <c r="F1146" t="s">
        <v>2303</v>
      </c>
      <c r="G1146" t="s">
        <v>28</v>
      </c>
      <c r="H1146" t="s">
        <v>28</v>
      </c>
      <c r="I1146" t="s">
        <v>905</v>
      </c>
    </row>
    <row r="1147" spans="1:9" ht="11.25" customHeight="1">
      <c r="A1147" t="s">
        <v>2246</v>
      </c>
      <c r="B1147" t="s">
        <v>16</v>
      </c>
      <c r="C1147" t="s">
        <v>2311</v>
      </c>
      <c r="D1147" t="s">
        <v>2312</v>
      </c>
      <c r="E1147" t="s">
        <v>2309</v>
      </c>
      <c r="F1147" t="s">
        <v>2313</v>
      </c>
      <c r="G1147" t="s">
        <v>2314</v>
      </c>
      <c r="H1147" t="s">
        <v>28</v>
      </c>
      <c r="I1147" t="s">
        <v>905</v>
      </c>
    </row>
    <row r="1148" spans="1:9" ht="11.25" customHeight="1">
      <c r="A1148" t="s">
        <v>2246</v>
      </c>
      <c r="B1148" t="s">
        <v>16</v>
      </c>
      <c r="C1148" t="s">
        <v>2318</v>
      </c>
      <c r="D1148" t="s">
        <v>2319</v>
      </c>
      <c r="E1148" t="s">
        <v>2320</v>
      </c>
      <c r="F1148" t="s">
        <v>2268</v>
      </c>
      <c r="G1148" t="s">
        <v>2321</v>
      </c>
      <c r="H1148" t="s">
        <v>28</v>
      </c>
      <c r="I1148" t="s">
        <v>905</v>
      </c>
    </row>
    <row r="1149" spans="1:9" ht="11.25" customHeight="1">
      <c r="A1149" t="s">
        <v>2246</v>
      </c>
      <c r="B1149" t="s">
        <v>16</v>
      </c>
      <c r="C1149" t="s">
        <v>2329</v>
      </c>
      <c r="D1149" t="s">
        <v>2330</v>
      </c>
      <c r="E1149" t="s">
        <v>2331</v>
      </c>
      <c r="F1149" t="s">
        <v>2332</v>
      </c>
      <c r="G1149" t="s">
        <v>2333</v>
      </c>
      <c r="H1149" t="s">
        <v>28</v>
      </c>
      <c r="I1149" t="s">
        <v>905</v>
      </c>
    </row>
    <row r="1150" spans="1:9" ht="11.25" customHeight="1">
      <c r="A1150" t="s">
        <v>2246</v>
      </c>
      <c r="B1150" t="s">
        <v>16</v>
      </c>
      <c r="C1150" t="s">
        <v>2334</v>
      </c>
      <c r="D1150" t="s">
        <v>2335</v>
      </c>
      <c r="E1150" t="s">
        <v>2336</v>
      </c>
      <c r="F1150" t="s">
        <v>2250</v>
      </c>
      <c r="G1150" t="s">
        <v>28</v>
      </c>
      <c r="H1150" t="s">
        <v>28</v>
      </c>
      <c r="I1150" t="s">
        <v>905</v>
      </c>
    </row>
    <row r="1151" spans="1:9" ht="11.25" customHeight="1">
      <c r="A1151" t="s">
        <v>2246</v>
      </c>
      <c r="B1151" t="s">
        <v>16</v>
      </c>
      <c r="C1151" t="s">
        <v>2344</v>
      </c>
      <c r="D1151" t="s">
        <v>2345</v>
      </c>
      <c r="E1151" t="s">
        <v>2346</v>
      </c>
      <c r="F1151" t="s">
        <v>2347</v>
      </c>
      <c r="G1151" t="s">
        <v>2348</v>
      </c>
      <c r="H1151" t="s">
        <v>28</v>
      </c>
      <c r="I1151" t="s">
        <v>905</v>
      </c>
    </row>
    <row r="1152" spans="1:9" ht="11.25" customHeight="1">
      <c r="A1152" t="s">
        <v>2246</v>
      </c>
      <c r="B1152" t="s">
        <v>16</v>
      </c>
      <c r="C1152" t="s">
        <v>4220</v>
      </c>
      <c r="D1152" t="s">
        <v>4221</v>
      </c>
      <c r="E1152" t="s">
        <v>4222</v>
      </c>
      <c r="F1152" t="s">
        <v>2574</v>
      </c>
      <c r="G1152" t="s">
        <v>28</v>
      </c>
      <c r="H1152" t="s">
        <v>28</v>
      </c>
      <c r="I1152" t="s">
        <v>905</v>
      </c>
    </row>
    <row r="1153" spans="1:9" ht="11.25" customHeight="1">
      <c r="A1153" t="s">
        <v>2246</v>
      </c>
      <c r="B1153" t="s">
        <v>16</v>
      </c>
      <c r="C1153" t="s">
        <v>4223</v>
      </c>
      <c r="D1153" t="s">
        <v>4224</v>
      </c>
      <c r="E1153" t="s">
        <v>4225</v>
      </c>
      <c r="F1153" t="s">
        <v>2347</v>
      </c>
      <c r="G1153" t="s">
        <v>4226</v>
      </c>
      <c r="H1153" t="s">
        <v>28</v>
      </c>
      <c r="I1153" t="s">
        <v>905</v>
      </c>
    </row>
    <row r="1154" spans="1:9" ht="11.25" customHeight="1">
      <c r="A1154" t="s">
        <v>2246</v>
      </c>
      <c r="B1154" t="s">
        <v>16</v>
      </c>
      <c r="C1154" t="s">
        <v>2375</v>
      </c>
      <c r="D1154" t="s">
        <v>2376</v>
      </c>
      <c r="E1154" t="s">
        <v>2377</v>
      </c>
      <c r="F1154" t="s">
        <v>2295</v>
      </c>
      <c r="G1154" t="s">
        <v>28</v>
      </c>
      <c r="H1154" t="s">
        <v>28</v>
      </c>
      <c r="I1154" t="s">
        <v>905</v>
      </c>
    </row>
    <row r="1155" spans="1:9" ht="11.25" customHeight="1">
      <c r="A1155" t="s">
        <v>2246</v>
      </c>
      <c r="B1155" t="s">
        <v>16</v>
      </c>
      <c r="C1155" t="s">
        <v>2385</v>
      </c>
      <c r="D1155" t="s">
        <v>2386</v>
      </c>
      <c r="E1155" t="s">
        <v>2387</v>
      </c>
      <c r="F1155" t="s">
        <v>2343</v>
      </c>
      <c r="G1155" t="s">
        <v>2388</v>
      </c>
      <c r="H1155" t="s">
        <v>28</v>
      </c>
      <c r="I1155" t="s">
        <v>905</v>
      </c>
    </row>
    <row r="1156" spans="1:9" ht="11.25" customHeight="1">
      <c r="A1156" t="s">
        <v>2246</v>
      </c>
      <c r="B1156" t="s">
        <v>16</v>
      </c>
      <c r="C1156" t="s">
        <v>2389</v>
      </c>
      <c r="D1156" t="s">
        <v>2390</v>
      </c>
      <c r="E1156" t="s">
        <v>2391</v>
      </c>
      <c r="F1156" t="s">
        <v>2332</v>
      </c>
      <c r="G1156" t="s">
        <v>2392</v>
      </c>
      <c r="H1156" t="s">
        <v>28</v>
      </c>
      <c r="I1156" t="s">
        <v>905</v>
      </c>
    </row>
    <row r="1157" spans="1:9" ht="11.25" customHeight="1">
      <c r="A1157" t="s">
        <v>2246</v>
      </c>
      <c r="B1157" t="s">
        <v>16</v>
      </c>
      <c r="C1157" t="s">
        <v>2393</v>
      </c>
      <c r="D1157" t="s">
        <v>2394</v>
      </c>
      <c r="E1157" t="s">
        <v>2272</v>
      </c>
      <c r="F1157" t="s">
        <v>2395</v>
      </c>
      <c r="G1157" t="s">
        <v>2396</v>
      </c>
      <c r="H1157" t="s">
        <v>28</v>
      </c>
      <c r="I1157" t="s">
        <v>905</v>
      </c>
    </row>
    <row r="1158" spans="1:9" ht="11.25" customHeight="1">
      <c r="A1158" t="s">
        <v>2246</v>
      </c>
      <c r="B1158" t="s">
        <v>16</v>
      </c>
      <c r="C1158" t="s">
        <v>4227</v>
      </c>
      <c r="D1158" t="s">
        <v>4228</v>
      </c>
      <c r="E1158" t="s">
        <v>4229</v>
      </c>
      <c r="F1158" t="s">
        <v>2574</v>
      </c>
      <c r="G1158" t="s">
        <v>4230</v>
      </c>
      <c r="H1158" t="s">
        <v>28</v>
      </c>
      <c r="I1158" t="s">
        <v>905</v>
      </c>
    </row>
    <row r="1159" spans="1:9" ht="11.25" customHeight="1">
      <c r="A1159" t="s">
        <v>2246</v>
      </c>
      <c r="B1159" t="s">
        <v>16</v>
      </c>
      <c r="C1159" t="s">
        <v>2402</v>
      </c>
      <c r="D1159" t="s">
        <v>2403</v>
      </c>
      <c r="E1159" t="s">
        <v>2404</v>
      </c>
      <c r="F1159" t="s">
        <v>2400</v>
      </c>
      <c r="G1159" t="s">
        <v>2405</v>
      </c>
      <c r="H1159" t="s">
        <v>28</v>
      </c>
      <c r="I1159" t="s">
        <v>905</v>
      </c>
    </row>
    <row r="1160" spans="1:9" ht="11.25" customHeight="1">
      <c r="A1160" t="s">
        <v>2246</v>
      </c>
      <c r="B1160" t="s">
        <v>16</v>
      </c>
      <c r="C1160" t="s">
        <v>2406</v>
      </c>
      <c r="D1160" t="s">
        <v>2407</v>
      </c>
      <c r="E1160" t="s">
        <v>2408</v>
      </c>
      <c r="F1160" t="s">
        <v>2409</v>
      </c>
      <c r="G1160" t="s">
        <v>28</v>
      </c>
      <c r="H1160" t="s">
        <v>28</v>
      </c>
      <c r="I1160" t="s">
        <v>905</v>
      </c>
    </row>
    <row r="1161" spans="1:9" ht="11.25" customHeight="1">
      <c r="A1161" t="s">
        <v>2246</v>
      </c>
      <c r="B1161" t="s">
        <v>16</v>
      </c>
      <c r="C1161" t="s">
        <v>2423</v>
      </c>
      <c r="D1161" t="s">
        <v>2424</v>
      </c>
      <c r="E1161" t="s">
        <v>2425</v>
      </c>
      <c r="F1161" t="s">
        <v>2303</v>
      </c>
      <c r="G1161" t="s">
        <v>2426</v>
      </c>
      <c r="H1161" t="s">
        <v>28</v>
      </c>
      <c r="I1161" t="s">
        <v>905</v>
      </c>
    </row>
    <row r="1162" spans="1:9" ht="11.25" customHeight="1">
      <c r="A1162" t="s">
        <v>2246</v>
      </c>
      <c r="B1162" t="s">
        <v>16</v>
      </c>
      <c r="C1162" t="s">
        <v>2442</v>
      </c>
      <c r="D1162" t="s">
        <v>2443</v>
      </c>
      <c r="E1162" t="s">
        <v>2425</v>
      </c>
      <c r="F1162" t="s">
        <v>2444</v>
      </c>
      <c r="G1162" t="s">
        <v>28</v>
      </c>
      <c r="H1162" t="s">
        <v>28</v>
      </c>
      <c r="I1162" t="s">
        <v>905</v>
      </c>
    </row>
    <row r="1163" spans="1:9" ht="11.25" customHeight="1">
      <c r="A1163" t="s">
        <v>2246</v>
      </c>
      <c r="B1163" t="s">
        <v>16</v>
      </c>
      <c r="C1163" t="s">
        <v>2445</v>
      </c>
      <c r="D1163" t="s">
        <v>2446</v>
      </c>
      <c r="E1163" t="s">
        <v>2425</v>
      </c>
      <c r="F1163" t="s">
        <v>2447</v>
      </c>
      <c r="G1163" t="s">
        <v>28</v>
      </c>
      <c r="H1163" t="s">
        <v>28</v>
      </c>
      <c r="I1163" t="s">
        <v>905</v>
      </c>
    </row>
    <row r="1164" spans="1:9" ht="11.25" customHeight="1">
      <c r="A1164" t="s">
        <v>2246</v>
      </c>
      <c r="B1164" t="s">
        <v>16</v>
      </c>
      <c r="C1164" t="s">
        <v>2451</v>
      </c>
      <c r="D1164" t="s">
        <v>2452</v>
      </c>
      <c r="E1164" t="s">
        <v>2425</v>
      </c>
      <c r="F1164" t="s">
        <v>2453</v>
      </c>
      <c r="G1164" t="s">
        <v>28</v>
      </c>
      <c r="H1164" t="s">
        <v>28</v>
      </c>
      <c r="I1164" t="s">
        <v>905</v>
      </c>
    </row>
    <row r="1165" spans="1:9" ht="11.25" customHeight="1">
      <c r="A1165" t="s">
        <v>2246</v>
      </c>
      <c r="B1165" t="s">
        <v>16</v>
      </c>
      <c r="C1165" t="s">
        <v>2466</v>
      </c>
      <c r="D1165" t="s">
        <v>2467</v>
      </c>
      <c r="E1165" t="s">
        <v>2468</v>
      </c>
      <c r="F1165" t="s">
        <v>2268</v>
      </c>
      <c r="G1165" t="s">
        <v>2469</v>
      </c>
      <c r="H1165" t="s">
        <v>28</v>
      </c>
      <c r="I1165" t="s">
        <v>905</v>
      </c>
    </row>
    <row r="1166" spans="1:9" ht="11.25" customHeight="1">
      <c r="A1166" t="s">
        <v>2246</v>
      </c>
      <c r="B1166" t="s">
        <v>16</v>
      </c>
      <c r="C1166" t="s">
        <v>2470</v>
      </c>
      <c r="D1166" t="s">
        <v>2471</v>
      </c>
      <c r="E1166" t="s">
        <v>2472</v>
      </c>
      <c r="F1166" t="s">
        <v>2332</v>
      </c>
      <c r="G1166" t="s">
        <v>2473</v>
      </c>
      <c r="H1166" t="s">
        <v>28</v>
      </c>
      <c r="I1166" t="s">
        <v>905</v>
      </c>
    </row>
    <row r="1167" spans="1:9" ht="11.25" customHeight="1">
      <c r="A1167" t="s">
        <v>2246</v>
      </c>
      <c r="B1167" t="s">
        <v>16</v>
      </c>
      <c r="C1167" t="s">
        <v>4534</v>
      </c>
      <c r="D1167" t="s">
        <v>4535</v>
      </c>
      <c r="E1167" t="s">
        <v>4536</v>
      </c>
      <c r="F1167" t="s">
        <v>2332</v>
      </c>
      <c r="G1167" t="s">
        <v>4537</v>
      </c>
      <c r="H1167" t="s">
        <v>28</v>
      </c>
      <c r="I1167" t="s">
        <v>905</v>
      </c>
    </row>
    <row r="1168" spans="1:9" ht="11.25" customHeight="1">
      <c r="A1168" t="s">
        <v>2246</v>
      </c>
      <c r="B1168" t="s">
        <v>16</v>
      </c>
      <c r="C1168" t="s">
        <v>4231</v>
      </c>
      <c r="D1168" t="s">
        <v>4232</v>
      </c>
      <c r="E1168" t="s">
        <v>4233</v>
      </c>
      <c r="F1168" t="s">
        <v>2250</v>
      </c>
      <c r="G1168" t="s">
        <v>4234</v>
      </c>
      <c r="H1168" t="s">
        <v>28</v>
      </c>
      <c r="I1168" t="s">
        <v>905</v>
      </c>
    </row>
    <row r="1169" spans="1:9" ht="11.25" customHeight="1">
      <c r="A1169" t="s">
        <v>2246</v>
      </c>
      <c r="B1169" t="s">
        <v>16</v>
      </c>
      <c r="C1169" t="s">
        <v>2477</v>
      </c>
      <c r="D1169" t="s">
        <v>2478</v>
      </c>
      <c r="E1169" t="s">
        <v>2479</v>
      </c>
      <c r="F1169" t="s">
        <v>2250</v>
      </c>
      <c r="G1169" t="s">
        <v>28</v>
      </c>
      <c r="H1169" t="s">
        <v>28</v>
      </c>
      <c r="I1169" t="s">
        <v>905</v>
      </c>
    </row>
    <row r="1170" spans="1:9" ht="11.25" customHeight="1">
      <c r="A1170" t="s">
        <v>2246</v>
      </c>
      <c r="B1170" t="s">
        <v>16</v>
      </c>
      <c r="C1170" t="s">
        <v>2480</v>
      </c>
      <c r="D1170" t="s">
        <v>2481</v>
      </c>
      <c r="E1170" t="s">
        <v>2482</v>
      </c>
      <c r="F1170" t="s">
        <v>2268</v>
      </c>
      <c r="G1170" t="s">
        <v>2483</v>
      </c>
      <c r="H1170" t="s">
        <v>28</v>
      </c>
      <c r="I1170" t="s">
        <v>905</v>
      </c>
    </row>
    <row r="1171" spans="1:9" ht="11.25" customHeight="1">
      <c r="A1171" t="s">
        <v>2246</v>
      </c>
      <c r="B1171" t="s">
        <v>16</v>
      </c>
      <c r="C1171" t="s">
        <v>2541</v>
      </c>
      <c r="D1171" t="s">
        <v>2542</v>
      </c>
      <c r="E1171" t="s">
        <v>2543</v>
      </c>
      <c r="F1171" t="s">
        <v>2544</v>
      </c>
      <c r="G1171" t="s">
        <v>28</v>
      </c>
      <c r="H1171" t="s">
        <v>28</v>
      </c>
      <c r="I1171" t="s">
        <v>905</v>
      </c>
    </row>
    <row r="1172" spans="1:9" ht="11.25" customHeight="1">
      <c r="A1172" t="s">
        <v>2246</v>
      </c>
      <c r="B1172" t="s">
        <v>16</v>
      </c>
      <c r="C1172" t="s">
        <v>2548</v>
      </c>
      <c r="D1172" t="s">
        <v>2549</v>
      </c>
      <c r="E1172" t="s">
        <v>2550</v>
      </c>
      <c r="F1172" t="s">
        <v>50</v>
      </c>
      <c r="G1172" t="s">
        <v>28</v>
      </c>
      <c r="H1172" t="s">
        <v>28</v>
      </c>
      <c r="I1172" t="s">
        <v>905</v>
      </c>
    </row>
    <row r="1173" spans="1:9" ht="11.25" customHeight="1">
      <c r="A1173" t="s">
        <v>2246</v>
      </c>
      <c r="B1173" t="s">
        <v>16</v>
      </c>
      <c r="C1173" t="s">
        <v>2551</v>
      </c>
      <c r="D1173" t="s">
        <v>2552</v>
      </c>
      <c r="E1173" t="s">
        <v>2553</v>
      </c>
      <c r="F1173" t="s">
        <v>2384</v>
      </c>
      <c r="G1173" t="s">
        <v>28</v>
      </c>
      <c r="H1173" t="s">
        <v>28</v>
      </c>
      <c r="I1173" t="s">
        <v>905</v>
      </c>
    </row>
    <row r="1174" spans="1:9" ht="11.25" customHeight="1">
      <c r="A1174" t="s">
        <v>2246</v>
      </c>
      <c r="B1174" t="s">
        <v>16</v>
      </c>
      <c r="C1174" t="s">
        <v>2561</v>
      </c>
      <c r="D1174" t="s">
        <v>2562</v>
      </c>
      <c r="E1174" t="s">
        <v>2563</v>
      </c>
      <c r="F1174" t="s">
        <v>2332</v>
      </c>
      <c r="G1174" t="s">
        <v>2564</v>
      </c>
      <c r="H1174" t="s">
        <v>28</v>
      </c>
      <c r="I1174" t="s">
        <v>905</v>
      </c>
    </row>
    <row r="1175" spans="1:9" ht="11.25" customHeight="1">
      <c r="A1175" t="s">
        <v>2246</v>
      </c>
      <c r="B1175" t="s">
        <v>16</v>
      </c>
      <c r="C1175" t="s">
        <v>4235</v>
      </c>
      <c r="D1175" t="s">
        <v>4236</v>
      </c>
      <c r="E1175" t="s">
        <v>4237</v>
      </c>
      <c r="F1175" t="s">
        <v>2574</v>
      </c>
      <c r="G1175" t="s">
        <v>28</v>
      </c>
      <c r="H1175" t="s">
        <v>28</v>
      </c>
      <c r="I1175" t="s">
        <v>905</v>
      </c>
    </row>
    <row r="1176" spans="1:9" ht="11.25" customHeight="1">
      <c r="A1176" t="s">
        <v>2246</v>
      </c>
      <c r="B1176" t="s">
        <v>16</v>
      </c>
      <c r="C1176" t="s">
        <v>2579</v>
      </c>
      <c r="D1176" t="s">
        <v>2580</v>
      </c>
      <c r="E1176" t="s">
        <v>2581</v>
      </c>
      <c r="F1176" t="s">
        <v>2582</v>
      </c>
      <c r="G1176" t="s">
        <v>2583</v>
      </c>
      <c r="H1176" t="s">
        <v>28</v>
      </c>
      <c r="I1176" t="s">
        <v>905</v>
      </c>
    </row>
    <row r="1177" spans="1:9" ht="11.25" customHeight="1">
      <c r="A1177" t="s">
        <v>2246</v>
      </c>
      <c r="B1177" t="s">
        <v>16</v>
      </c>
      <c r="C1177" t="s">
        <v>2584</v>
      </c>
      <c r="D1177" t="s">
        <v>2585</v>
      </c>
      <c r="E1177" t="s">
        <v>2586</v>
      </c>
      <c r="F1177" t="s">
        <v>2332</v>
      </c>
      <c r="G1177" t="s">
        <v>2587</v>
      </c>
      <c r="H1177" t="s">
        <v>28</v>
      </c>
      <c r="I1177" t="s">
        <v>905</v>
      </c>
    </row>
    <row r="1178" spans="1:9" ht="11.25" customHeight="1">
      <c r="A1178" t="s">
        <v>2246</v>
      </c>
      <c r="B1178" t="s">
        <v>16</v>
      </c>
      <c r="C1178" t="s">
        <v>4538</v>
      </c>
      <c r="D1178" t="s">
        <v>4539</v>
      </c>
      <c r="E1178" t="s">
        <v>4540</v>
      </c>
      <c r="F1178" t="s">
        <v>2250</v>
      </c>
      <c r="G1178" t="s">
        <v>28</v>
      </c>
      <c r="H1178" t="s">
        <v>28</v>
      </c>
      <c r="I1178" t="s">
        <v>905</v>
      </c>
    </row>
    <row r="1179" spans="1:9" ht="11.25" customHeight="1">
      <c r="A1179" t="s">
        <v>2246</v>
      </c>
      <c r="B1179" t="s">
        <v>16</v>
      </c>
      <c r="C1179" t="s">
        <v>2604</v>
      </c>
      <c r="D1179" t="s">
        <v>2605</v>
      </c>
      <c r="E1179" t="s">
        <v>2606</v>
      </c>
      <c r="F1179" t="s">
        <v>2370</v>
      </c>
      <c r="G1179" t="s">
        <v>2607</v>
      </c>
      <c r="H1179" t="s">
        <v>28</v>
      </c>
      <c r="I1179" t="s">
        <v>905</v>
      </c>
    </row>
    <row r="1180" spans="1:9" ht="11.25" customHeight="1">
      <c r="A1180" t="s">
        <v>2246</v>
      </c>
      <c r="B1180" t="s">
        <v>16</v>
      </c>
      <c r="C1180" t="s">
        <v>2608</v>
      </c>
      <c r="D1180" t="s">
        <v>2609</v>
      </c>
      <c r="E1180" t="s">
        <v>2610</v>
      </c>
      <c r="F1180" t="s">
        <v>2250</v>
      </c>
      <c r="G1180" t="s">
        <v>28</v>
      </c>
      <c r="H1180" t="s">
        <v>28</v>
      </c>
      <c r="I1180" t="s">
        <v>905</v>
      </c>
    </row>
    <row r="1181" spans="1:9" ht="11.25" customHeight="1">
      <c r="A1181" t="s">
        <v>2246</v>
      </c>
      <c r="B1181" t="s">
        <v>16</v>
      </c>
      <c r="C1181" t="s">
        <v>2620</v>
      </c>
      <c r="D1181" t="s">
        <v>2621</v>
      </c>
      <c r="E1181" t="s">
        <v>2622</v>
      </c>
      <c r="F1181" t="s">
        <v>2343</v>
      </c>
      <c r="G1181" t="s">
        <v>28</v>
      </c>
      <c r="H1181" t="s">
        <v>28</v>
      </c>
      <c r="I1181" t="s">
        <v>905</v>
      </c>
    </row>
    <row r="1182" spans="1:9" ht="11.25" customHeight="1">
      <c r="A1182" t="s">
        <v>2246</v>
      </c>
      <c r="B1182" t="s">
        <v>16</v>
      </c>
      <c r="C1182" t="s">
        <v>2623</v>
      </c>
      <c r="D1182" t="s">
        <v>2624</v>
      </c>
      <c r="E1182" t="s">
        <v>2625</v>
      </c>
      <c r="F1182" t="s">
        <v>2325</v>
      </c>
      <c r="G1182" t="s">
        <v>28</v>
      </c>
      <c r="H1182" t="s">
        <v>28</v>
      </c>
      <c r="I1182" t="s">
        <v>905</v>
      </c>
    </row>
    <row r="1183" spans="1:9" ht="11.25" customHeight="1">
      <c r="A1183" t="s">
        <v>2246</v>
      </c>
      <c r="B1183" t="s">
        <v>16</v>
      </c>
      <c r="C1183" t="s">
        <v>2626</v>
      </c>
      <c r="D1183" t="s">
        <v>2627</v>
      </c>
      <c r="E1183" t="s">
        <v>2628</v>
      </c>
      <c r="F1183" t="s">
        <v>2629</v>
      </c>
      <c r="G1183" t="s">
        <v>2630</v>
      </c>
      <c r="H1183" t="s">
        <v>28</v>
      </c>
      <c r="I1183" t="s">
        <v>905</v>
      </c>
    </row>
    <row r="1184" spans="1:9" ht="11.25" customHeight="1">
      <c r="A1184" t="s">
        <v>2246</v>
      </c>
      <c r="B1184" t="s">
        <v>16</v>
      </c>
      <c r="C1184" t="s">
        <v>2634</v>
      </c>
      <c r="D1184" t="s">
        <v>2635</v>
      </c>
      <c r="E1184" t="s">
        <v>2636</v>
      </c>
      <c r="F1184" t="s">
        <v>2637</v>
      </c>
      <c r="G1184" t="s">
        <v>28</v>
      </c>
      <c r="H1184" t="s">
        <v>28</v>
      </c>
      <c r="I1184" t="s">
        <v>905</v>
      </c>
    </row>
    <row r="1185" spans="1:9" ht="11.25" customHeight="1">
      <c r="A1185" t="s">
        <v>2246</v>
      </c>
      <c r="B1185" t="s">
        <v>16</v>
      </c>
      <c r="C1185" t="s">
        <v>2638</v>
      </c>
      <c r="D1185" t="s">
        <v>2639</v>
      </c>
      <c r="E1185" t="s">
        <v>2636</v>
      </c>
      <c r="F1185" t="s">
        <v>2343</v>
      </c>
      <c r="G1185" t="s">
        <v>2483</v>
      </c>
      <c r="H1185" t="s">
        <v>28</v>
      </c>
      <c r="I1185" t="s">
        <v>905</v>
      </c>
    </row>
    <row r="1186" spans="1:9" ht="11.25" customHeight="1">
      <c r="A1186" t="s">
        <v>2246</v>
      </c>
      <c r="B1186" t="s">
        <v>16</v>
      </c>
      <c r="C1186" t="s">
        <v>2644</v>
      </c>
      <c r="D1186" t="s">
        <v>2645</v>
      </c>
      <c r="E1186" t="s">
        <v>2646</v>
      </c>
      <c r="F1186" t="s">
        <v>2295</v>
      </c>
      <c r="G1186" t="s">
        <v>2647</v>
      </c>
      <c r="H1186" t="s">
        <v>28</v>
      </c>
      <c r="I1186" t="s">
        <v>905</v>
      </c>
    </row>
    <row r="1187" spans="1:9" ht="11.25" customHeight="1">
      <c r="A1187" t="s">
        <v>2246</v>
      </c>
      <c r="B1187" t="s">
        <v>16</v>
      </c>
      <c r="C1187" t="s">
        <v>4541</v>
      </c>
      <c r="D1187" t="s">
        <v>4542</v>
      </c>
      <c r="E1187" t="s">
        <v>4543</v>
      </c>
      <c r="F1187" t="s">
        <v>3869</v>
      </c>
      <c r="G1187" t="s">
        <v>28</v>
      </c>
      <c r="H1187" t="s">
        <v>28</v>
      </c>
      <c r="I1187" t="s">
        <v>905</v>
      </c>
    </row>
    <row r="1188" spans="1:9" ht="11.25" customHeight="1">
      <c r="A1188" t="s">
        <v>2246</v>
      </c>
      <c r="B1188" t="s">
        <v>16</v>
      </c>
      <c r="C1188" t="s">
        <v>4544</v>
      </c>
      <c r="D1188" t="s">
        <v>4545</v>
      </c>
      <c r="E1188" t="s">
        <v>4546</v>
      </c>
      <c r="F1188" t="s">
        <v>2582</v>
      </c>
      <c r="G1188" t="s">
        <v>28</v>
      </c>
      <c r="H1188" t="s">
        <v>28</v>
      </c>
      <c r="I1188" t="s">
        <v>905</v>
      </c>
    </row>
    <row r="1189" spans="1:9" ht="11.25" customHeight="1">
      <c r="A1189" t="s">
        <v>2246</v>
      </c>
      <c r="B1189" t="s">
        <v>16</v>
      </c>
      <c r="C1189" t="s">
        <v>2678</v>
      </c>
      <c r="D1189" t="s">
        <v>2679</v>
      </c>
      <c r="E1189" t="s">
        <v>2543</v>
      </c>
      <c r="F1189" t="s">
        <v>2680</v>
      </c>
      <c r="G1189" t="s">
        <v>28</v>
      </c>
      <c r="H1189" t="s">
        <v>28</v>
      </c>
      <c r="I1189" t="s">
        <v>905</v>
      </c>
    </row>
    <row r="1190" spans="1:9" ht="11.25" customHeight="1">
      <c r="A1190" t="s">
        <v>2246</v>
      </c>
      <c r="B1190" t="s">
        <v>16</v>
      </c>
      <c r="C1190" t="s">
        <v>2691</v>
      </c>
      <c r="D1190" t="s">
        <v>2692</v>
      </c>
      <c r="E1190" t="s">
        <v>2693</v>
      </c>
      <c r="F1190" t="s">
        <v>2687</v>
      </c>
      <c r="G1190" t="s">
        <v>28</v>
      </c>
      <c r="H1190" t="s">
        <v>28</v>
      </c>
      <c r="I1190" t="s">
        <v>905</v>
      </c>
    </row>
    <row r="1191" spans="1:9" ht="11.25" customHeight="1">
      <c r="A1191" t="s">
        <v>2246</v>
      </c>
      <c r="B1191" t="s">
        <v>16</v>
      </c>
      <c r="C1191" t="s">
        <v>4547</v>
      </c>
      <c r="D1191" t="s">
        <v>4548</v>
      </c>
      <c r="E1191" t="s">
        <v>4549</v>
      </c>
      <c r="F1191" t="s">
        <v>2303</v>
      </c>
      <c r="G1191" t="s">
        <v>4550</v>
      </c>
      <c r="H1191" t="s">
        <v>28</v>
      </c>
      <c r="I1191" t="s">
        <v>905</v>
      </c>
    </row>
    <row r="1192" spans="1:9" ht="11.25" customHeight="1">
      <c r="A1192" t="s">
        <v>2246</v>
      </c>
      <c r="B1192" t="s">
        <v>16</v>
      </c>
      <c r="C1192" t="s">
        <v>2694</v>
      </c>
      <c r="D1192" t="s">
        <v>2695</v>
      </c>
      <c r="E1192" t="s">
        <v>2696</v>
      </c>
      <c r="F1192" t="s">
        <v>2332</v>
      </c>
      <c r="G1192" t="s">
        <v>28</v>
      </c>
      <c r="H1192" t="s">
        <v>28</v>
      </c>
      <c r="I1192" t="s">
        <v>905</v>
      </c>
    </row>
    <row r="1193" spans="1:9" ht="11.25" customHeight="1">
      <c r="A1193" t="s">
        <v>2246</v>
      </c>
      <c r="B1193" t="s">
        <v>16</v>
      </c>
      <c r="C1193" t="s">
        <v>2697</v>
      </c>
      <c r="D1193" t="s">
        <v>2698</v>
      </c>
      <c r="E1193" t="s">
        <v>2699</v>
      </c>
      <c r="F1193" t="s">
        <v>2250</v>
      </c>
      <c r="G1193" t="s">
        <v>2700</v>
      </c>
      <c r="H1193" t="s">
        <v>28</v>
      </c>
      <c r="I1193" t="s">
        <v>905</v>
      </c>
    </row>
    <row r="1194" spans="1:9" ht="11.25" customHeight="1">
      <c r="A1194" t="s">
        <v>2246</v>
      </c>
      <c r="B1194" t="s">
        <v>16</v>
      </c>
      <c r="C1194" t="s">
        <v>2708</v>
      </c>
      <c r="D1194" t="s">
        <v>2709</v>
      </c>
      <c r="E1194" t="s">
        <v>2710</v>
      </c>
      <c r="F1194" t="s">
        <v>2286</v>
      </c>
      <c r="G1194" t="s">
        <v>28</v>
      </c>
      <c r="H1194" t="s">
        <v>28</v>
      </c>
      <c r="I1194" t="s">
        <v>905</v>
      </c>
    </row>
    <row r="1195" spans="1:9" ht="11.25" customHeight="1">
      <c r="A1195" t="s">
        <v>2246</v>
      </c>
      <c r="B1195" t="s">
        <v>16</v>
      </c>
      <c r="C1195" t="s">
        <v>2721</v>
      </c>
      <c r="D1195" t="s">
        <v>2722</v>
      </c>
      <c r="E1195" t="s">
        <v>2723</v>
      </c>
      <c r="F1195" t="s">
        <v>2724</v>
      </c>
      <c r="G1195" t="s">
        <v>2725</v>
      </c>
      <c r="H1195" t="s">
        <v>28</v>
      </c>
      <c r="I1195" t="s">
        <v>905</v>
      </c>
    </row>
    <row r="1196" spans="1:9" ht="11.25" customHeight="1">
      <c r="A1196" t="s">
        <v>2246</v>
      </c>
      <c r="B1196" t="s">
        <v>16</v>
      </c>
      <c r="C1196" t="s">
        <v>2735</v>
      </c>
      <c r="D1196" t="s">
        <v>2736</v>
      </c>
      <c r="E1196" t="s">
        <v>2737</v>
      </c>
      <c r="F1196" t="s">
        <v>2303</v>
      </c>
      <c r="G1196" t="s">
        <v>28</v>
      </c>
      <c r="H1196" t="s">
        <v>28</v>
      </c>
      <c r="I1196" t="s">
        <v>905</v>
      </c>
    </row>
    <row r="1197" spans="1:9" ht="11.25" customHeight="1">
      <c r="A1197" t="s">
        <v>2246</v>
      </c>
      <c r="B1197" t="s">
        <v>16</v>
      </c>
      <c r="C1197" t="s">
        <v>4245</v>
      </c>
      <c r="D1197" t="s">
        <v>4246</v>
      </c>
      <c r="E1197" t="s">
        <v>4247</v>
      </c>
      <c r="F1197" t="s">
        <v>2325</v>
      </c>
      <c r="G1197" t="s">
        <v>4248</v>
      </c>
      <c r="H1197" t="s">
        <v>28</v>
      </c>
      <c r="I1197" t="s">
        <v>905</v>
      </c>
    </row>
    <row r="1198" spans="1:9" ht="11.25" customHeight="1">
      <c r="A1198" t="s">
        <v>2246</v>
      </c>
      <c r="B1198" t="s">
        <v>16</v>
      </c>
      <c r="C1198" t="s">
        <v>4551</v>
      </c>
      <c r="D1198" t="s">
        <v>4552</v>
      </c>
      <c r="E1198" t="s">
        <v>4553</v>
      </c>
      <c r="F1198" t="s">
        <v>3581</v>
      </c>
      <c r="G1198" t="s">
        <v>28</v>
      </c>
      <c r="H1198" t="s">
        <v>28</v>
      </c>
      <c r="I1198" t="s">
        <v>905</v>
      </c>
    </row>
    <row r="1199" spans="1:9" ht="11.25" customHeight="1">
      <c r="A1199" t="s">
        <v>2246</v>
      </c>
      <c r="B1199" t="s">
        <v>16</v>
      </c>
      <c r="C1199" t="s">
        <v>2755</v>
      </c>
      <c r="D1199" t="s">
        <v>2756</v>
      </c>
      <c r="E1199" t="s">
        <v>2757</v>
      </c>
      <c r="F1199" t="s">
        <v>2758</v>
      </c>
      <c r="G1199" t="s">
        <v>28</v>
      </c>
      <c r="H1199" t="s">
        <v>28</v>
      </c>
      <c r="I1199" t="s">
        <v>905</v>
      </c>
    </row>
    <row r="1200" spans="1:9" ht="11.25" customHeight="1">
      <c r="A1200" t="s">
        <v>2246</v>
      </c>
      <c r="B1200" t="s">
        <v>16</v>
      </c>
      <c r="C1200" t="s">
        <v>2762</v>
      </c>
      <c r="D1200" t="s">
        <v>2763</v>
      </c>
      <c r="E1200" t="s">
        <v>2764</v>
      </c>
      <c r="F1200" t="s">
        <v>2384</v>
      </c>
      <c r="G1200" t="s">
        <v>2765</v>
      </c>
      <c r="H1200" t="s">
        <v>28</v>
      </c>
      <c r="I1200" t="s">
        <v>905</v>
      </c>
    </row>
    <row r="1201" spans="1:9" ht="11.25" customHeight="1">
      <c r="A1201" t="s">
        <v>2246</v>
      </c>
      <c r="B1201" t="s">
        <v>16</v>
      </c>
      <c r="C1201" t="s">
        <v>2775</v>
      </c>
      <c r="D1201" t="s">
        <v>2776</v>
      </c>
      <c r="E1201" t="s">
        <v>2777</v>
      </c>
      <c r="F1201" t="s">
        <v>574</v>
      </c>
      <c r="G1201" t="s">
        <v>28</v>
      </c>
      <c r="H1201" t="s">
        <v>28</v>
      </c>
      <c r="I1201" t="s">
        <v>905</v>
      </c>
    </row>
    <row r="1202" spans="1:9" ht="11.25" customHeight="1">
      <c r="A1202" t="s">
        <v>2246</v>
      </c>
      <c r="B1202" t="s">
        <v>16</v>
      </c>
      <c r="C1202" t="s">
        <v>4554</v>
      </c>
      <c r="D1202" t="s">
        <v>4555</v>
      </c>
      <c r="E1202" t="s">
        <v>4556</v>
      </c>
      <c r="F1202" t="s">
        <v>2250</v>
      </c>
      <c r="G1202" t="s">
        <v>28</v>
      </c>
      <c r="H1202" t="s">
        <v>28</v>
      </c>
      <c r="I1202" t="s">
        <v>905</v>
      </c>
    </row>
    <row r="1203" spans="1:9" ht="11.25" customHeight="1">
      <c r="A1203" t="s">
        <v>2246</v>
      </c>
      <c r="B1203" t="s">
        <v>16</v>
      </c>
      <c r="C1203" t="s">
        <v>4259</v>
      </c>
      <c r="D1203" t="s">
        <v>4260</v>
      </c>
      <c r="E1203" t="s">
        <v>4261</v>
      </c>
      <c r="F1203" t="s">
        <v>3188</v>
      </c>
      <c r="G1203" t="s">
        <v>28</v>
      </c>
      <c r="H1203" t="s">
        <v>28</v>
      </c>
      <c r="I1203" t="s">
        <v>905</v>
      </c>
    </row>
    <row r="1204" spans="1:9" ht="11.25" customHeight="1">
      <c r="A1204" t="s">
        <v>2246</v>
      </c>
      <c r="B1204" t="s">
        <v>16</v>
      </c>
      <c r="C1204" t="s">
        <v>2829</v>
      </c>
      <c r="D1204" t="s">
        <v>2830</v>
      </c>
      <c r="E1204" t="s">
        <v>2831</v>
      </c>
      <c r="F1204" t="s">
        <v>2582</v>
      </c>
      <c r="G1204" t="s">
        <v>28</v>
      </c>
      <c r="H1204" t="s">
        <v>28</v>
      </c>
      <c r="I1204" t="s">
        <v>905</v>
      </c>
    </row>
    <row r="1205" spans="1:9" ht="11.25" customHeight="1">
      <c r="A1205" t="s">
        <v>2246</v>
      </c>
      <c r="B1205" t="s">
        <v>16</v>
      </c>
      <c r="C1205" t="s">
        <v>4265</v>
      </c>
      <c r="D1205" t="s">
        <v>4266</v>
      </c>
      <c r="E1205" t="s">
        <v>4267</v>
      </c>
      <c r="F1205" t="s">
        <v>2360</v>
      </c>
      <c r="G1205" t="s">
        <v>28</v>
      </c>
      <c r="H1205" t="s">
        <v>28</v>
      </c>
      <c r="I1205" t="s">
        <v>905</v>
      </c>
    </row>
    <row r="1206" spans="1:9" ht="11.25" customHeight="1">
      <c r="A1206" t="s">
        <v>2246</v>
      </c>
      <c r="B1206" t="s">
        <v>16</v>
      </c>
      <c r="C1206" t="s">
        <v>4271</v>
      </c>
      <c r="D1206" t="s">
        <v>4272</v>
      </c>
      <c r="E1206" t="s">
        <v>4273</v>
      </c>
      <c r="F1206" t="s">
        <v>2352</v>
      </c>
      <c r="G1206" t="s">
        <v>28</v>
      </c>
      <c r="H1206" t="s">
        <v>28</v>
      </c>
      <c r="I1206" t="s">
        <v>905</v>
      </c>
    </row>
    <row r="1207" spans="1:9" ht="11.25" customHeight="1">
      <c r="A1207" t="s">
        <v>2246</v>
      </c>
      <c r="B1207" t="s">
        <v>16</v>
      </c>
      <c r="C1207" t="s">
        <v>4274</v>
      </c>
      <c r="D1207" t="s">
        <v>4275</v>
      </c>
      <c r="E1207" t="s">
        <v>4276</v>
      </c>
      <c r="F1207" t="s">
        <v>2360</v>
      </c>
      <c r="G1207" t="s">
        <v>28</v>
      </c>
      <c r="H1207" t="s">
        <v>28</v>
      </c>
      <c r="I1207" t="s">
        <v>905</v>
      </c>
    </row>
    <row r="1208" spans="1:9" ht="11.25" customHeight="1">
      <c r="A1208" t="s">
        <v>2246</v>
      </c>
      <c r="B1208" t="s">
        <v>16</v>
      </c>
      <c r="C1208" t="s">
        <v>4277</v>
      </c>
      <c r="D1208" t="s">
        <v>4278</v>
      </c>
      <c r="E1208" t="s">
        <v>4279</v>
      </c>
      <c r="F1208" t="s">
        <v>2400</v>
      </c>
      <c r="G1208" t="s">
        <v>28</v>
      </c>
      <c r="H1208" t="s">
        <v>28</v>
      </c>
      <c r="I1208" t="s">
        <v>905</v>
      </c>
    </row>
    <row r="1209" spans="1:9" ht="11.25" customHeight="1">
      <c r="A1209" t="s">
        <v>2246</v>
      </c>
      <c r="B1209" t="s">
        <v>16</v>
      </c>
      <c r="C1209" t="s">
        <v>4557</v>
      </c>
      <c r="D1209" t="s">
        <v>4558</v>
      </c>
      <c r="E1209" t="s">
        <v>4559</v>
      </c>
      <c r="F1209" t="s">
        <v>2347</v>
      </c>
      <c r="G1209" t="s">
        <v>28</v>
      </c>
      <c r="H1209" t="s">
        <v>28</v>
      </c>
      <c r="I1209" t="s">
        <v>905</v>
      </c>
    </row>
    <row r="1210" spans="1:9" ht="11.25" customHeight="1">
      <c r="A1210" t="s">
        <v>2246</v>
      </c>
      <c r="B1210" t="s">
        <v>16</v>
      </c>
      <c r="C1210" t="s">
        <v>4280</v>
      </c>
      <c r="D1210" t="s">
        <v>4281</v>
      </c>
      <c r="E1210" t="s">
        <v>4282</v>
      </c>
      <c r="F1210" t="s">
        <v>2574</v>
      </c>
      <c r="G1210" t="s">
        <v>28</v>
      </c>
      <c r="H1210" t="s">
        <v>28</v>
      </c>
      <c r="I1210" t="s">
        <v>905</v>
      </c>
    </row>
    <row r="1211" spans="1:9" ht="11.25" customHeight="1">
      <c r="A1211" t="s">
        <v>2246</v>
      </c>
      <c r="B1211" t="s">
        <v>16</v>
      </c>
      <c r="C1211" t="s">
        <v>2838</v>
      </c>
      <c r="D1211" t="s">
        <v>2839</v>
      </c>
      <c r="E1211" t="s">
        <v>2840</v>
      </c>
      <c r="F1211" t="s">
        <v>2295</v>
      </c>
      <c r="G1211" t="s">
        <v>28</v>
      </c>
      <c r="H1211" t="s">
        <v>28</v>
      </c>
      <c r="I1211" t="s">
        <v>905</v>
      </c>
    </row>
    <row r="1212" spans="1:9" ht="11.25" customHeight="1">
      <c r="A1212" t="s">
        <v>2246</v>
      </c>
      <c r="B1212" t="s">
        <v>16</v>
      </c>
      <c r="C1212" t="s">
        <v>4286</v>
      </c>
      <c r="D1212" t="s">
        <v>4287</v>
      </c>
      <c r="E1212" t="s">
        <v>4288</v>
      </c>
      <c r="F1212" t="s">
        <v>2295</v>
      </c>
      <c r="G1212" t="s">
        <v>28</v>
      </c>
      <c r="H1212" t="s">
        <v>28</v>
      </c>
      <c r="I1212" t="s">
        <v>905</v>
      </c>
    </row>
    <row r="1213" spans="1:9" ht="11.25" customHeight="1">
      <c r="A1213" t="s">
        <v>2246</v>
      </c>
      <c r="B1213" t="s">
        <v>16</v>
      </c>
      <c r="C1213" t="s">
        <v>4289</v>
      </c>
      <c r="D1213" t="s">
        <v>4290</v>
      </c>
      <c r="E1213" t="s">
        <v>4291</v>
      </c>
      <c r="F1213" t="s">
        <v>2687</v>
      </c>
      <c r="G1213" t="s">
        <v>28</v>
      </c>
      <c r="H1213" t="s">
        <v>28</v>
      </c>
      <c r="I1213" t="s">
        <v>905</v>
      </c>
    </row>
    <row r="1214" spans="1:9" ht="11.25" customHeight="1">
      <c r="A1214" t="s">
        <v>2246</v>
      </c>
      <c r="B1214" t="s">
        <v>16</v>
      </c>
      <c r="C1214" t="s">
        <v>4292</v>
      </c>
      <c r="D1214" t="s">
        <v>4293</v>
      </c>
      <c r="E1214" t="s">
        <v>4294</v>
      </c>
      <c r="F1214" t="s">
        <v>2264</v>
      </c>
      <c r="G1214" t="s">
        <v>28</v>
      </c>
      <c r="H1214" t="s">
        <v>28</v>
      </c>
      <c r="I1214" t="s">
        <v>905</v>
      </c>
    </row>
    <row r="1215" spans="1:9" ht="11.25" customHeight="1">
      <c r="A1215" t="s">
        <v>2246</v>
      </c>
      <c r="B1215" t="s">
        <v>16</v>
      </c>
      <c r="C1215" t="s">
        <v>2847</v>
      </c>
      <c r="D1215" t="s">
        <v>2848</v>
      </c>
      <c r="E1215" t="s">
        <v>2849</v>
      </c>
      <c r="F1215" t="s">
        <v>2295</v>
      </c>
      <c r="G1215" t="s">
        <v>28</v>
      </c>
      <c r="H1215" t="s">
        <v>28</v>
      </c>
      <c r="I1215" t="s">
        <v>905</v>
      </c>
    </row>
    <row r="1216" spans="1:9" ht="11.25" customHeight="1">
      <c r="A1216" t="s">
        <v>2246</v>
      </c>
      <c r="B1216" t="s">
        <v>16</v>
      </c>
      <c r="C1216" t="s">
        <v>2850</v>
      </c>
      <c r="D1216" t="s">
        <v>2851</v>
      </c>
      <c r="E1216" t="s">
        <v>2852</v>
      </c>
      <c r="F1216" t="s">
        <v>2295</v>
      </c>
      <c r="G1216" t="s">
        <v>28</v>
      </c>
      <c r="H1216" t="s">
        <v>28</v>
      </c>
      <c r="I1216" t="s">
        <v>905</v>
      </c>
    </row>
    <row r="1217" spans="1:9" ht="11.25" customHeight="1">
      <c r="A1217" t="s">
        <v>2246</v>
      </c>
      <c r="B1217" t="s">
        <v>16</v>
      </c>
      <c r="C1217" t="s">
        <v>4295</v>
      </c>
      <c r="D1217" t="s">
        <v>4296</v>
      </c>
      <c r="E1217" t="s">
        <v>4297</v>
      </c>
      <c r="F1217" t="s">
        <v>2295</v>
      </c>
      <c r="G1217" t="s">
        <v>28</v>
      </c>
      <c r="H1217" t="s">
        <v>28</v>
      </c>
      <c r="I1217" t="s">
        <v>905</v>
      </c>
    </row>
    <row r="1218" spans="1:9" ht="11.25" customHeight="1">
      <c r="A1218" t="s">
        <v>2246</v>
      </c>
      <c r="B1218" t="s">
        <v>16</v>
      </c>
      <c r="C1218" t="s">
        <v>4298</v>
      </c>
      <c r="D1218" t="s">
        <v>4299</v>
      </c>
      <c r="E1218" t="s">
        <v>4300</v>
      </c>
      <c r="F1218" t="s">
        <v>2264</v>
      </c>
      <c r="G1218" t="s">
        <v>28</v>
      </c>
      <c r="H1218" t="s">
        <v>28</v>
      </c>
      <c r="I1218" t="s">
        <v>905</v>
      </c>
    </row>
    <row r="1219" spans="1:9" ht="11.25" customHeight="1">
      <c r="A1219" t="s">
        <v>2246</v>
      </c>
      <c r="B1219" t="s">
        <v>16</v>
      </c>
      <c r="C1219" t="s">
        <v>4301</v>
      </c>
      <c r="D1219" t="s">
        <v>4302</v>
      </c>
      <c r="E1219" t="s">
        <v>4303</v>
      </c>
      <c r="F1219" t="s">
        <v>2264</v>
      </c>
      <c r="G1219" t="s">
        <v>28</v>
      </c>
      <c r="H1219" t="s">
        <v>28</v>
      </c>
      <c r="I1219" t="s">
        <v>905</v>
      </c>
    </row>
    <row r="1220" spans="1:9" ht="11.25" customHeight="1">
      <c r="A1220" t="s">
        <v>2246</v>
      </c>
      <c r="B1220" t="s">
        <v>16</v>
      </c>
      <c r="C1220" t="s">
        <v>4304</v>
      </c>
      <c r="D1220" t="s">
        <v>4305</v>
      </c>
      <c r="E1220" t="s">
        <v>4306</v>
      </c>
      <c r="F1220" t="s">
        <v>2582</v>
      </c>
      <c r="G1220" t="s">
        <v>28</v>
      </c>
      <c r="H1220" t="s">
        <v>28</v>
      </c>
      <c r="I1220" t="s">
        <v>905</v>
      </c>
    </row>
    <row r="1221" spans="1:9" ht="11.25" customHeight="1">
      <c r="A1221" t="s">
        <v>2246</v>
      </c>
      <c r="B1221" t="s">
        <v>16</v>
      </c>
      <c r="C1221" t="s">
        <v>2877</v>
      </c>
      <c r="D1221" t="s">
        <v>2878</v>
      </c>
      <c r="E1221" t="s">
        <v>2879</v>
      </c>
      <c r="F1221" t="s">
        <v>2400</v>
      </c>
      <c r="G1221" t="s">
        <v>2880</v>
      </c>
      <c r="H1221" t="s">
        <v>28</v>
      </c>
      <c r="I1221" t="s">
        <v>905</v>
      </c>
    </row>
    <row r="1222" spans="1:9" ht="11.25" customHeight="1">
      <c r="A1222" t="s">
        <v>2246</v>
      </c>
      <c r="B1222" t="s">
        <v>16</v>
      </c>
      <c r="C1222" t="s">
        <v>4307</v>
      </c>
      <c r="D1222" t="s">
        <v>4308</v>
      </c>
      <c r="E1222" t="s">
        <v>4309</v>
      </c>
      <c r="F1222" t="s">
        <v>2582</v>
      </c>
      <c r="G1222" t="s">
        <v>28</v>
      </c>
      <c r="H1222" t="s">
        <v>28</v>
      </c>
      <c r="I1222" t="s">
        <v>905</v>
      </c>
    </row>
    <row r="1223" spans="1:9" ht="11.25" customHeight="1">
      <c r="A1223" t="s">
        <v>2246</v>
      </c>
      <c r="B1223" t="s">
        <v>16</v>
      </c>
      <c r="C1223" t="s">
        <v>4310</v>
      </c>
      <c r="D1223" t="s">
        <v>4311</v>
      </c>
      <c r="E1223" t="s">
        <v>4312</v>
      </c>
      <c r="F1223" t="s">
        <v>2343</v>
      </c>
      <c r="G1223" t="s">
        <v>28</v>
      </c>
      <c r="H1223" t="s">
        <v>28</v>
      </c>
      <c r="I1223" t="s">
        <v>905</v>
      </c>
    </row>
    <row r="1224" spans="1:9" ht="11.25" customHeight="1">
      <c r="A1224" t="s">
        <v>2246</v>
      </c>
      <c r="B1224" t="s">
        <v>16</v>
      </c>
      <c r="C1224" t="s">
        <v>2884</v>
      </c>
      <c r="D1224" t="s">
        <v>2885</v>
      </c>
      <c r="E1224" t="s">
        <v>2886</v>
      </c>
      <c r="F1224" t="s">
        <v>2574</v>
      </c>
      <c r="G1224" t="s">
        <v>28</v>
      </c>
      <c r="H1224" t="s">
        <v>28</v>
      </c>
      <c r="I1224" t="s">
        <v>905</v>
      </c>
    </row>
    <row r="1225" spans="1:9" ht="11.25" customHeight="1">
      <c r="A1225" t="s">
        <v>2246</v>
      </c>
      <c r="B1225" t="s">
        <v>16</v>
      </c>
      <c r="C1225" t="s">
        <v>4313</v>
      </c>
      <c r="D1225" t="s">
        <v>4314</v>
      </c>
      <c r="E1225" t="s">
        <v>4315</v>
      </c>
      <c r="F1225" t="s">
        <v>2352</v>
      </c>
      <c r="G1225" t="s">
        <v>28</v>
      </c>
      <c r="H1225" t="s">
        <v>28</v>
      </c>
      <c r="I1225" t="s">
        <v>905</v>
      </c>
    </row>
    <row r="1226" spans="1:9" ht="11.25" customHeight="1">
      <c r="A1226" t="s">
        <v>2246</v>
      </c>
      <c r="B1226" t="s">
        <v>16</v>
      </c>
      <c r="C1226" t="s">
        <v>2887</v>
      </c>
      <c r="D1226" t="s">
        <v>2888</v>
      </c>
      <c r="E1226" t="s">
        <v>2889</v>
      </c>
      <c r="F1226" t="s">
        <v>2295</v>
      </c>
      <c r="G1226" t="s">
        <v>28</v>
      </c>
      <c r="H1226" t="s">
        <v>28</v>
      </c>
      <c r="I1226" t="s">
        <v>905</v>
      </c>
    </row>
    <row r="1227" spans="1:9" ht="11.25" customHeight="1">
      <c r="A1227" t="s">
        <v>2246</v>
      </c>
      <c r="B1227" t="s">
        <v>16</v>
      </c>
      <c r="C1227" t="s">
        <v>4316</v>
      </c>
      <c r="D1227" t="s">
        <v>4317</v>
      </c>
      <c r="E1227" t="s">
        <v>4318</v>
      </c>
      <c r="F1227" t="s">
        <v>3188</v>
      </c>
      <c r="G1227" t="s">
        <v>28</v>
      </c>
      <c r="H1227" t="s">
        <v>28</v>
      </c>
      <c r="I1227" t="s">
        <v>905</v>
      </c>
    </row>
    <row r="1228" spans="1:9" ht="11.25" customHeight="1">
      <c r="A1228" t="s">
        <v>2246</v>
      </c>
      <c r="B1228" t="s">
        <v>16</v>
      </c>
      <c r="C1228" t="s">
        <v>4322</v>
      </c>
      <c r="D1228" t="s">
        <v>4323</v>
      </c>
      <c r="E1228" t="s">
        <v>4324</v>
      </c>
      <c r="F1228" t="s">
        <v>2286</v>
      </c>
      <c r="G1228" t="s">
        <v>28</v>
      </c>
      <c r="H1228" t="s">
        <v>28</v>
      </c>
      <c r="I1228" t="s">
        <v>905</v>
      </c>
    </row>
    <row r="1229" spans="1:9" ht="11.25" customHeight="1">
      <c r="A1229" t="s">
        <v>2246</v>
      </c>
      <c r="B1229" t="s">
        <v>16</v>
      </c>
      <c r="C1229" t="s">
        <v>4325</v>
      </c>
      <c r="D1229" t="s">
        <v>4326</v>
      </c>
      <c r="E1229" t="s">
        <v>4327</v>
      </c>
      <c r="F1229" t="s">
        <v>2360</v>
      </c>
      <c r="G1229" t="s">
        <v>28</v>
      </c>
      <c r="H1229" t="s">
        <v>28</v>
      </c>
      <c r="I1229" t="s">
        <v>905</v>
      </c>
    </row>
    <row r="1230" spans="1:9" ht="11.25" customHeight="1">
      <c r="A1230" t="s">
        <v>2246</v>
      </c>
      <c r="B1230" t="s">
        <v>16</v>
      </c>
      <c r="C1230" t="s">
        <v>4560</v>
      </c>
      <c r="D1230" t="s">
        <v>4561</v>
      </c>
      <c r="E1230" t="s">
        <v>4562</v>
      </c>
      <c r="F1230" t="s">
        <v>3188</v>
      </c>
      <c r="G1230" t="s">
        <v>28</v>
      </c>
      <c r="H1230" t="s">
        <v>28</v>
      </c>
      <c r="I1230" t="s">
        <v>905</v>
      </c>
    </row>
    <row r="1231" spans="1:9" ht="11.25" customHeight="1">
      <c r="A1231" t="s">
        <v>2246</v>
      </c>
      <c r="B1231" t="s">
        <v>16</v>
      </c>
      <c r="C1231" t="s">
        <v>4328</v>
      </c>
      <c r="D1231" t="s">
        <v>4329</v>
      </c>
      <c r="E1231" t="s">
        <v>4330</v>
      </c>
      <c r="F1231" t="s">
        <v>2687</v>
      </c>
      <c r="G1231" t="s">
        <v>28</v>
      </c>
      <c r="H1231" t="s">
        <v>28</v>
      </c>
      <c r="I1231" t="s">
        <v>905</v>
      </c>
    </row>
    <row r="1232" spans="1:9" ht="11.25" customHeight="1">
      <c r="A1232" t="s">
        <v>2246</v>
      </c>
      <c r="B1232" t="s">
        <v>16</v>
      </c>
      <c r="C1232" t="s">
        <v>2893</v>
      </c>
      <c r="D1232" t="s">
        <v>2894</v>
      </c>
      <c r="E1232" t="s">
        <v>2895</v>
      </c>
      <c r="F1232" t="s">
        <v>2286</v>
      </c>
      <c r="G1232" t="s">
        <v>28</v>
      </c>
      <c r="H1232" t="s">
        <v>28</v>
      </c>
      <c r="I1232" t="s">
        <v>905</v>
      </c>
    </row>
    <row r="1233" spans="1:9" ht="11.25" customHeight="1">
      <c r="A1233" t="s">
        <v>2246</v>
      </c>
      <c r="B1233" t="s">
        <v>16</v>
      </c>
      <c r="C1233" t="s">
        <v>4331</v>
      </c>
      <c r="D1233" t="s">
        <v>4332</v>
      </c>
      <c r="E1233" t="s">
        <v>4333</v>
      </c>
      <c r="F1233" t="s">
        <v>2268</v>
      </c>
      <c r="G1233" t="s">
        <v>28</v>
      </c>
      <c r="H1233" t="s">
        <v>28</v>
      </c>
      <c r="I1233" t="s">
        <v>905</v>
      </c>
    </row>
    <row r="1234" spans="1:9" ht="11.25" customHeight="1">
      <c r="A1234" t="s">
        <v>2246</v>
      </c>
      <c r="B1234" t="s">
        <v>16</v>
      </c>
      <c r="C1234" t="s">
        <v>2919</v>
      </c>
      <c r="D1234" t="s">
        <v>2920</v>
      </c>
      <c r="E1234" t="s">
        <v>2921</v>
      </c>
      <c r="F1234" t="s">
        <v>2687</v>
      </c>
      <c r="G1234" t="s">
        <v>2922</v>
      </c>
      <c r="H1234" t="s">
        <v>28</v>
      </c>
      <c r="I1234" t="s">
        <v>905</v>
      </c>
    </row>
    <row r="1235" spans="1:9" ht="11.25" customHeight="1">
      <c r="A1235" t="s">
        <v>2246</v>
      </c>
      <c r="B1235" t="s">
        <v>16</v>
      </c>
      <c r="C1235" t="s">
        <v>2939</v>
      </c>
      <c r="D1235" t="s">
        <v>2940</v>
      </c>
      <c r="E1235" t="s">
        <v>2941</v>
      </c>
      <c r="F1235" t="s">
        <v>2347</v>
      </c>
      <c r="G1235" t="s">
        <v>2942</v>
      </c>
      <c r="H1235" t="s">
        <v>28</v>
      </c>
      <c r="I1235" t="s">
        <v>905</v>
      </c>
    </row>
    <row r="1236" spans="1:9" ht="11.25" customHeight="1">
      <c r="A1236" t="s">
        <v>2246</v>
      </c>
      <c r="B1236" t="s">
        <v>16</v>
      </c>
      <c r="C1236" t="s">
        <v>4337</v>
      </c>
      <c r="D1236" t="s">
        <v>4338</v>
      </c>
      <c r="E1236" t="s">
        <v>4339</v>
      </c>
      <c r="F1236" t="s">
        <v>2400</v>
      </c>
      <c r="G1236" t="s">
        <v>28</v>
      </c>
      <c r="H1236" t="s">
        <v>28</v>
      </c>
      <c r="I1236" t="s">
        <v>905</v>
      </c>
    </row>
    <row r="1237" spans="1:9" ht="11.25" customHeight="1">
      <c r="A1237" t="s">
        <v>2246</v>
      </c>
      <c r="B1237" t="s">
        <v>16</v>
      </c>
      <c r="C1237" t="s">
        <v>2946</v>
      </c>
      <c r="D1237" t="s">
        <v>2947</v>
      </c>
      <c r="E1237" t="s">
        <v>2948</v>
      </c>
      <c r="F1237" t="s">
        <v>2347</v>
      </c>
      <c r="G1237" t="s">
        <v>28</v>
      </c>
      <c r="H1237" t="s">
        <v>28</v>
      </c>
      <c r="I1237" t="s">
        <v>905</v>
      </c>
    </row>
    <row r="1238" spans="1:9" ht="11.25" customHeight="1">
      <c r="A1238" t="s">
        <v>2246</v>
      </c>
      <c r="B1238" t="s">
        <v>16</v>
      </c>
      <c r="C1238" t="s">
        <v>4340</v>
      </c>
      <c r="D1238" t="s">
        <v>4341</v>
      </c>
      <c r="E1238" t="s">
        <v>4342</v>
      </c>
      <c r="F1238" t="s">
        <v>2687</v>
      </c>
      <c r="G1238" t="s">
        <v>28</v>
      </c>
      <c r="H1238" t="s">
        <v>28</v>
      </c>
      <c r="I1238" t="s">
        <v>905</v>
      </c>
    </row>
    <row r="1239" spans="1:9" ht="11.25" customHeight="1">
      <c r="A1239" t="s">
        <v>2246</v>
      </c>
      <c r="B1239" t="s">
        <v>16</v>
      </c>
      <c r="C1239" t="s">
        <v>4343</v>
      </c>
      <c r="D1239" t="s">
        <v>4344</v>
      </c>
      <c r="E1239" t="s">
        <v>4345</v>
      </c>
      <c r="F1239" t="s">
        <v>2582</v>
      </c>
      <c r="G1239" t="s">
        <v>28</v>
      </c>
      <c r="H1239" t="s">
        <v>28</v>
      </c>
      <c r="I1239" t="s">
        <v>905</v>
      </c>
    </row>
    <row r="1240" spans="1:9" ht="11.25" customHeight="1">
      <c r="A1240" t="s">
        <v>2246</v>
      </c>
      <c r="B1240" t="s">
        <v>16</v>
      </c>
      <c r="C1240" t="s">
        <v>4346</v>
      </c>
      <c r="D1240" t="s">
        <v>4347</v>
      </c>
      <c r="E1240" t="s">
        <v>4348</v>
      </c>
      <c r="F1240" t="s">
        <v>2352</v>
      </c>
      <c r="G1240" t="s">
        <v>4349</v>
      </c>
      <c r="H1240" t="s">
        <v>28</v>
      </c>
      <c r="I1240" t="s">
        <v>905</v>
      </c>
    </row>
    <row r="1241" spans="1:9" ht="11.25" customHeight="1">
      <c r="A1241" t="s">
        <v>2246</v>
      </c>
      <c r="B1241" t="s">
        <v>16</v>
      </c>
      <c r="C1241" t="s">
        <v>4350</v>
      </c>
      <c r="D1241" t="s">
        <v>4351</v>
      </c>
      <c r="E1241" t="s">
        <v>4352</v>
      </c>
      <c r="F1241" t="s">
        <v>2343</v>
      </c>
      <c r="G1241" t="s">
        <v>4353</v>
      </c>
      <c r="H1241" t="s">
        <v>28</v>
      </c>
      <c r="I1241" t="s">
        <v>905</v>
      </c>
    </row>
    <row r="1242" spans="1:9" ht="11.25" customHeight="1">
      <c r="A1242" t="s">
        <v>2246</v>
      </c>
      <c r="B1242" t="s">
        <v>16</v>
      </c>
      <c r="C1242" t="s">
        <v>2953</v>
      </c>
      <c r="D1242" t="s">
        <v>2954</v>
      </c>
      <c r="E1242" t="s">
        <v>2955</v>
      </c>
      <c r="F1242" t="s">
        <v>2264</v>
      </c>
      <c r="G1242" t="s">
        <v>2956</v>
      </c>
      <c r="H1242" t="s">
        <v>28</v>
      </c>
      <c r="I1242" t="s">
        <v>905</v>
      </c>
    </row>
    <row r="1243" spans="1:9" ht="11.25" customHeight="1">
      <c r="A1243" t="s">
        <v>2246</v>
      </c>
      <c r="B1243" t="s">
        <v>16</v>
      </c>
      <c r="C1243" t="s">
        <v>4354</v>
      </c>
      <c r="D1243" t="s">
        <v>4355</v>
      </c>
      <c r="E1243" t="s">
        <v>4356</v>
      </c>
      <c r="F1243" t="s">
        <v>2582</v>
      </c>
      <c r="G1243" t="s">
        <v>4357</v>
      </c>
      <c r="H1243" t="s">
        <v>28</v>
      </c>
      <c r="I1243" t="s">
        <v>905</v>
      </c>
    </row>
    <row r="1244" spans="1:9" ht="11.25" customHeight="1">
      <c r="A1244" t="s">
        <v>2246</v>
      </c>
      <c r="B1244" t="s">
        <v>16</v>
      </c>
      <c r="C1244" t="s">
        <v>4358</v>
      </c>
      <c r="D1244" t="s">
        <v>4359</v>
      </c>
      <c r="E1244" t="s">
        <v>4360</v>
      </c>
      <c r="F1244" t="s">
        <v>2352</v>
      </c>
      <c r="G1244" t="s">
        <v>4361</v>
      </c>
      <c r="H1244" t="s">
        <v>28</v>
      </c>
      <c r="I1244" t="s">
        <v>905</v>
      </c>
    </row>
    <row r="1245" spans="1:9" ht="11.25" customHeight="1">
      <c r="A1245" t="s">
        <v>2246</v>
      </c>
      <c r="B1245" t="s">
        <v>16</v>
      </c>
      <c r="C1245" t="s">
        <v>2960</v>
      </c>
      <c r="D1245" t="s">
        <v>2961</v>
      </c>
      <c r="E1245" t="s">
        <v>2962</v>
      </c>
      <c r="F1245" t="s">
        <v>2295</v>
      </c>
      <c r="G1245" t="s">
        <v>2963</v>
      </c>
      <c r="H1245" t="s">
        <v>28</v>
      </c>
      <c r="I1245" t="s">
        <v>905</v>
      </c>
    </row>
    <row r="1246" spans="1:9" ht="11.25" customHeight="1">
      <c r="A1246" t="s">
        <v>2246</v>
      </c>
      <c r="B1246" t="s">
        <v>16</v>
      </c>
      <c r="C1246" t="s">
        <v>2964</v>
      </c>
      <c r="D1246" t="s">
        <v>2965</v>
      </c>
      <c r="E1246" t="s">
        <v>2966</v>
      </c>
      <c r="F1246" t="s">
        <v>2347</v>
      </c>
      <c r="G1246" t="s">
        <v>2967</v>
      </c>
      <c r="H1246" t="s">
        <v>28</v>
      </c>
      <c r="I1246" t="s">
        <v>905</v>
      </c>
    </row>
    <row r="1247" spans="1:9" ht="11.25" customHeight="1">
      <c r="A1247" t="s">
        <v>2246</v>
      </c>
      <c r="B1247" t="s">
        <v>16</v>
      </c>
      <c r="C1247" t="s">
        <v>2972</v>
      </c>
      <c r="D1247" t="s">
        <v>2973</v>
      </c>
      <c r="E1247" t="s">
        <v>2974</v>
      </c>
      <c r="F1247" t="s">
        <v>50</v>
      </c>
      <c r="G1247" t="s">
        <v>2975</v>
      </c>
      <c r="H1247" t="s">
        <v>28</v>
      </c>
      <c r="I1247" t="s">
        <v>905</v>
      </c>
    </row>
    <row r="1248" spans="1:9" ht="11.25" customHeight="1">
      <c r="A1248" t="s">
        <v>2246</v>
      </c>
      <c r="B1248" t="s">
        <v>16</v>
      </c>
      <c r="C1248" t="s">
        <v>2976</v>
      </c>
      <c r="D1248" t="s">
        <v>2977</v>
      </c>
      <c r="E1248" t="s">
        <v>2978</v>
      </c>
      <c r="F1248" t="s">
        <v>2286</v>
      </c>
      <c r="G1248" t="s">
        <v>28</v>
      </c>
      <c r="H1248" t="s">
        <v>28</v>
      </c>
      <c r="I1248" t="s">
        <v>905</v>
      </c>
    </row>
    <row r="1249" spans="1:9" ht="11.25" customHeight="1">
      <c r="A1249" t="s">
        <v>2246</v>
      </c>
      <c r="B1249" t="s">
        <v>16</v>
      </c>
      <c r="C1249" t="s">
        <v>2979</v>
      </c>
      <c r="D1249" t="s">
        <v>2980</v>
      </c>
      <c r="E1249" t="s">
        <v>2981</v>
      </c>
      <c r="F1249" t="s">
        <v>2352</v>
      </c>
      <c r="G1249" t="s">
        <v>28</v>
      </c>
      <c r="H1249" t="s">
        <v>28</v>
      </c>
      <c r="I1249" t="s">
        <v>905</v>
      </c>
    </row>
    <row r="1250" spans="1:9" ht="11.25" customHeight="1">
      <c r="A1250" t="s">
        <v>2246</v>
      </c>
      <c r="B1250" t="s">
        <v>16</v>
      </c>
      <c r="C1250" t="s">
        <v>2982</v>
      </c>
      <c r="D1250" t="s">
        <v>2983</v>
      </c>
      <c r="E1250" t="s">
        <v>2984</v>
      </c>
      <c r="F1250" t="s">
        <v>2352</v>
      </c>
      <c r="G1250" t="s">
        <v>2985</v>
      </c>
      <c r="H1250" t="s">
        <v>28</v>
      </c>
      <c r="I1250" t="s">
        <v>905</v>
      </c>
    </row>
    <row r="1251" spans="1:9" ht="11.25" customHeight="1">
      <c r="A1251" t="s">
        <v>2246</v>
      </c>
      <c r="B1251" t="s">
        <v>16</v>
      </c>
      <c r="C1251" t="s">
        <v>2986</v>
      </c>
      <c r="D1251" t="s">
        <v>2987</v>
      </c>
      <c r="E1251" t="s">
        <v>2988</v>
      </c>
      <c r="F1251" t="s">
        <v>2989</v>
      </c>
      <c r="G1251" t="s">
        <v>2990</v>
      </c>
      <c r="H1251" t="s">
        <v>28</v>
      </c>
      <c r="I1251" t="s">
        <v>905</v>
      </c>
    </row>
    <row r="1252" spans="1:9" ht="11.25" customHeight="1">
      <c r="A1252" t="s">
        <v>2246</v>
      </c>
      <c r="B1252" t="s">
        <v>16</v>
      </c>
      <c r="C1252" t="s">
        <v>2991</v>
      </c>
      <c r="D1252" t="s">
        <v>2992</v>
      </c>
      <c r="E1252" t="s">
        <v>2993</v>
      </c>
      <c r="F1252" t="s">
        <v>2687</v>
      </c>
      <c r="G1252" t="s">
        <v>28</v>
      </c>
      <c r="H1252" t="s">
        <v>28</v>
      </c>
      <c r="I1252" t="s">
        <v>905</v>
      </c>
    </row>
    <row r="1253" spans="1:9" ht="11.25" customHeight="1">
      <c r="A1253" t="s">
        <v>2246</v>
      </c>
      <c r="B1253" t="s">
        <v>16</v>
      </c>
      <c r="C1253" t="s">
        <v>2994</v>
      </c>
      <c r="D1253" t="s">
        <v>2995</v>
      </c>
      <c r="E1253" t="s">
        <v>2996</v>
      </c>
      <c r="F1253" t="s">
        <v>2352</v>
      </c>
      <c r="G1253" t="s">
        <v>28</v>
      </c>
      <c r="H1253" t="s">
        <v>28</v>
      </c>
      <c r="I1253" t="s">
        <v>905</v>
      </c>
    </row>
    <row r="1254" spans="1:9" ht="11.25" customHeight="1">
      <c r="A1254" t="s">
        <v>2246</v>
      </c>
      <c r="B1254" t="s">
        <v>16</v>
      </c>
      <c r="C1254" t="s">
        <v>3005</v>
      </c>
      <c r="D1254" t="s">
        <v>3006</v>
      </c>
      <c r="E1254" t="s">
        <v>3007</v>
      </c>
      <c r="F1254" t="s">
        <v>2582</v>
      </c>
      <c r="G1254" t="s">
        <v>3008</v>
      </c>
      <c r="H1254" t="s">
        <v>28</v>
      </c>
      <c r="I1254" t="s">
        <v>905</v>
      </c>
    </row>
    <row r="1255" spans="1:9" ht="11.25" customHeight="1">
      <c r="A1255" t="s">
        <v>2246</v>
      </c>
      <c r="B1255" t="s">
        <v>16</v>
      </c>
      <c r="C1255" t="s">
        <v>3009</v>
      </c>
      <c r="D1255" t="s">
        <v>3010</v>
      </c>
      <c r="E1255" t="s">
        <v>3011</v>
      </c>
      <c r="F1255" t="s">
        <v>2687</v>
      </c>
      <c r="G1255" t="s">
        <v>3012</v>
      </c>
      <c r="H1255" t="s">
        <v>28</v>
      </c>
      <c r="I1255" t="s">
        <v>905</v>
      </c>
    </row>
    <row r="1256" spans="1:9" ht="11.25" customHeight="1">
      <c r="A1256" t="s">
        <v>2246</v>
      </c>
      <c r="B1256" t="s">
        <v>16</v>
      </c>
      <c r="C1256" t="s">
        <v>3013</v>
      </c>
      <c r="D1256" t="s">
        <v>3014</v>
      </c>
      <c r="E1256" t="s">
        <v>3015</v>
      </c>
      <c r="F1256" t="s">
        <v>2264</v>
      </c>
      <c r="G1256" t="s">
        <v>3016</v>
      </c>
      <c r="H1256" t="s">
        <v>28</v>
      </c>
      <c r="I1256" t="s">
        <v>905</v>
      </c>
    </row>
    <row r="1257" spans="1:9" ht="11.25" customHeight="1">
      <c r="A1257" t="s">
        <v>2246</v>
      </c>
      <c r="B1257" t="s">
        <v>16</v>
      </c>
      <c r="C1257" t="s">
        <v>4362</v>
      </c>
      <c r="D1257" t="s">
        <v>4363</v>
      </c>
      <c r="E1257" t="s">
        <v>4364</v>
      </c>
      <c r="F1257" t="s">
        <v>2400</v>
      </c>
      <c r="G1257" t="s">
        <v>28</v>
      </c>
      <c r="H1257" t="s">
        <v>28</v>
      </c>
      <c r="I1257" t="s">
        <v>905</v>
      </c>
    </row>
    <row r="1258" spans="1:9" ht="11.25" customHeight="1">
      <c r="A1258" t="s">
        <v>2246</v>
      </c>
      <c r="B1258" t="s">
        <v>16</v>
      </c>
      <c r="C1258" t="s">
        <v>3020</v>
      </c>
      <c r="D1258" t="s">
        <v>3021</v>
      </c>
      <c r="E1258" t="s">
        <v>3022</v>
      </c>
      <c r="F1258" t="s">
        <v>2347</v>
      </c>
      <c r="G1258" t="s">
        <v>28</v>
      </c>
      <c r="H1258" t="s">
        <v>28</v>
      </c>
      <c r="I1258" t="s">
        <v>905</v>
      </c>
    </row>
    <row r="1259" spans="1:9" ht="11.25" customHeight="1">
      <c r="A1259" t="s">
        <v>2246</v>
      </c>
      <c r="B1259" t="s">
        <v>16</v>
      </c>
      <c r="C1259" t="s">
        <v>4365</v>
      </c>
      <c r="D1259" t="s">
        <v>4366</v>
      </c>
      <c r="E1259" t="s">
        <v>4367</v>
      </c>
      <c r="F1259" t="s">
        <v>2687</v>
      </c>
      <c r="G1259" t="s">
        <v>28</v>
      </c>
      <c r="H1259" t="s">
        <v>28</v>
      </c>
      <c r="I1259" t="s">
        <v>905</v>
      </c>
    </row>
    <row r="1260" spans="1:9" ht="11.25" customHeight="1">
      <c r="A1260" t="s">
        <v>2246</v>
      </c>
      <c r="B1260" t="s">
        <v>16</v>
      </c>
      <c r="C1260" t="s">
        <v>3031</v>
      </c>
      <c r="D1260" t="s">
        <v>3032</v>
      </c>
      <c r="E1260" t="s">
        <v>3033</v>
      </c>
      <c r="F1260" t="s">
        <v>2264</v>
      </c>
      <c r="G1260" t="s">
        <v>3034</v>
      </c>
      <c r="H1260" t="s">
        <v>28</v>
      </c>
      <c r="I1260" t="s">
        <v>905</v>
      </c>
    </row>
    <row r="1261" spans="1:9" ht="11.25" customHeight="1">
      <c r="A1261" t="s">
        <v>2246</v>
      </c>
      <c r="B1261" t="s">
        <v>16</v>
      </c>
      <c r="C1261" t="s">
        <v>3039</v>
      </c>
      <c r="D1261" t="s">
        <v>3040</v>
      </c>
      <c r="E1261" t="s">
        <v>3041</v>
      </c>
      <c r="F1261" t="s">
        <v>2295</v>
      </c>
      <c r="G1261" t="s">
        <v>3042</v>
      </c>
      <c r="H1261" t="s">
        <v>28</v>
      </c>
      <c r="I1261" t="s">
        <v>905</v>
      </c>
    </row>
    <row r="1262" spans="1:9" ht="11.25" customHeight="1">
      <c r="A1262" t="s">
        <v>2246</v>
      </c>
      <c r="B1262" t="s">
        <v>16</v>
      </c>
      <c r="C1262" t="s">
        <v>3047</v>
      </c>
      <c r="D1262" t="s">
        <v>3048</v>
      </c>
      <c r="E1262" t="s">
        <v>3049</v>
      </c>
      <c r="F1262" t="s">
        <v>2286</v>
      </c>
      <c r="G1262" t="s">
        <v>3004</v>
      </c>
      <c r="H1262" t="s">
        <v>28</v>
      </c>
      <c r="I1262" t="s">
        <v>905</v>
      </c>
    </row>
    <row r="1263" spans="1:9" ht="11.25" customHeight="1">
      <c r="A1263" t="s">
        <v>2246</v>
      </c>
      <c r="B1263" t="s">
        <v>16</v>
      </c>
      <c r="C1263" t="s">
        <v>3050</v>
      </c>
      <c r="D1263" t="s">
        <v>3051</v>
      </c>
      <c r="E1263" t="s">
        <v>3052</v>
      </c>
      <c r="F1263" t="s">
        <v>2295</v>
      </c>
      <c r="G1263" t="s">
        <v>28</v>
      </c>
      <c r="H1263" t="s">
        <v>28</v>
      </c>
      <c r="I1263" t="s">
        <v>905</v>
      </c>
    </row>
    <row r="1264" spans="1:9" ht="11.25" customHeight="1">
      <c r="A1264" t="s">
        <v>2246</v>
      </c>
      <c r="B1264" t="s">
        <v>16</v>
      </c>
      <c r="C1264" t="s">
        <v>3053</v>
      </c>
      <c r="D1264" t="s">
        <v>3054</v>
      </c>
      <c r="E1264" t="s">
        <v>3055</v>
      </c>
      <c r="F1264" t="s">
        <v>2352</v>
      </c>
      <c r="G1264" t="s">
        <v>3056</v>
      </c>
      <c r="H1264" t="s">
        <v>28</v>
      </c>
      <c r="I1264" t="s">
        <v>905</v>
      </c>
    </row>
    <row r="1265" spans="1:9" ht="11.25" customHeight="1">
      <c r="A1265" t="s">
        <v>2246</v>
      </c>
      <c r="B1265" t="s">
        <v>16</v>
      </c>
      <c r="C1265" t="s">
        <v>3068</v>
      </c>
      <c r="D1265" t="s">
        <v>3069</v>
      </c>
      <c r="E1265" t="s">
        <v>3070</v>
      </c>
      <c r="F1265" t="s">
        <v>2400</v>
      </c>
      <c r="G1265" t="s">
        <v>3071</v>
      </c>
      <c r="H1265" t="s">
        <v>28</v>
      </c>
      <c r="I1265" t="s">
        <v>905</v>
      </c>
    </row>
    <row r="1266" spans="1:9" ht="11.25" customHeight="1">
      <c r="A1266" t="s">
        <v>2246</v>
      </c>
      <c r="B1266" t="s">
        <v>16</v>
      </c>
      <c r="C1266" t="s">
        <v>3072</v>
      </c>
      <c r="D1266" t="s">
        <v>3073</v>
      </c>
      <c r="E1266" t="s">
        <v>3074</v>
      </c>
      <c r="F1266" t="s">
        <v>2264</v>
      </c>
      <c r="G1266" t="s">
        <v>3075</v>
      </c>
      <c r="H1266" t="s">
        <v>28</v>
      </c>
      <c r="I1266" t="s">
        <v>905</v>
      </c>
    </row>
    <row r="1267" spans="1:9" ht="11.25" customHeight="1">
      <c r="A1267" t="s">
        <v>2246</v>
      </c>
      <c r="B1267" t="s">
        <v>16</v>
      </c>
      <c r="C1267" t="s">
        <v>3076</v>
      </c>
      <c r="D1267" t="s">
        <v>3077</v>
      </c>
      <c r="E1267" t="s">
        <v>3078</v>
      </c>
      <c r="F1267" t="s">
        <v>2352</v>
      </c>
      <c r="G1267" t="s">
        <v>3079</v>
      </c>
      <c r="H1267" t="s">
        <v>28</v>
      </c>
      <c r="I1267" t="s">
        <v>905</v>
      </c>
    </row>
    <row r="1268" spans="1:9" ht="11.25" customHeight="1">
      <c r="A1268" t="s">
        <v>2246</v>
      </c>
      <c r="B1268" t="s">
        <v>16</v>
      </c>
      <c r="C1268" t="s">
        <v>3080</v>
      </c>
      <c r="D1268" t="s">
        <v>3081</v>
      </c>
      <c r="E1268" t="s">
        <v>3082</v>
      </c>
      <c r="F1268" t="s">
        <v>2352</v>
      </c>
      <c r="G1268" t="s">
        <v>3083</v>
      </c>
      <c r="H1268" t="s">
        <v>28</v>
      </c>
      <c r="I1268" t="s">
        <v>905</v>
      </c>
    </row>
    <row r="1269" spans="1:9" ht="11.25" customHeight="1">
      <c r="A1269" t="s">
        <v>2246</v>
      </c>
      <c r="B1269" t="s">
        <v>16</v>
      </c>
      <c r="C1269" t="s">
        <v>4368</v>
      </c>
      <c r="D1269" t="s">
        <v>4369</v>
      </c>
      <c r="E1269" t="s">
        <v>4370</v>
      </c>
      <c r="F1269" t="s">
        <v>2360</v>
      </c>
      <c r="G1269" t="s">
        <v>28</v>
      </c>
      <c r="H1269" t="s">
        <v>28</v>
      </c>
      <c r="I1269" t="s">
        <v>905</v>
      </c>
    </row>
    <row r="1270" spans="1:9" ht="11.25" customHeight="1">
      <c r="A1270" t="s">
        <v>2246</v>
      </c>
      <c r="B1270" t="s">
        <v>16</v>
      </c>
      <c r="C1270" t="s">
        <v>4371</v>
      </c>
      <c r="D1270" t="s">
        <v>4372</v>
      </c>
      <c r="E1270" t="s">
        <v>4373</v>
      </c>
      <c r="F1270" t="s">
        <v>2332</v>
      </c>
      <c r="G1270" t="s">
        <v>28</v>
      </c>
      <c r="H1270" t="s">
        <v>28</v>
      </c>
      <c r="I1270" t="s">
        <v>905</v>
      </c>
    </row>
    <row r="1271" spans="1:9" ht="11.25" customHeight="1">
      <c r="A1271" t="s">
        <v>2246</v>
      </c>
      <c r="B1271" t="s">
        <v>16</v>
      </c>
      <c r="C1271" t="s">
        <v>4374</v>
      </c>
      <c r="D1271" t="s">
        <v>4375</v>
      </c>
      <c r="E1271" t="s">
        <v>4376</v>
      </c>
      <c r="F1271" t="s">
        <v>50</v>
      </c>
      <c r="G1271" t="s">
        <v>4377</v>
      </c>
      <c r="H1271" t="s">
        <v>28</v>
      </c>
      <c r="I1271" t="s">
        <v>905</v>
      </c>
    </row>
    <row r="1272" spans="1:9" ht="11.25" customHeight="1">
      <c r="A1272" t="s">
        <v>2246</v>
      </c>
      <c r="B1272" t="s">
        <v>16</v>
      </c>
      <c r="C1272" t="s">
        <v>3104</v>
      </c>
      <c r="D1272" t="s">
        <v>3105</v>
      </c>
      <c r="E1272" t="s">
        <v>3106</v>
      </c>
      <c r="F1272" t="s">
        <v>2360</v>
      </c>
      <c r="G1272" t="s">
        <v>3107</v>
      </c>
      <c r="H1272" t="s">
        <v>28</v>
      </c>
      <c r="I1272" t="s">
        <v>905</v>
      </c>
    </row>
    <row r="1273" spans="1:9" ht="11.25" customHeight="1">
      <c r="A1273" t="s">
        <v>2246</v>
      </c>
      <c r="B1273" t="s">
        <v>16</v>
      </c>
      <c r="C1273" t="s">
        <v>4378</v>
      </c>
      <c r="D1273" t="s">
        <v>4379</v>
      </c>
      <c r="E1273" t="s">
        <v>4380</v>
      </c>
      <c r="F1273" t="s">
        <v>2360</v>
      </c>
      <c r="G1273" t="s">
        <v>28</v>
      </c>
      <c r="H1273" t="s">
        <v>28</v>
      </c>
      <c r="I1273" t="s">
        <v>905</v>
      </c>
    </row>
    <row r="1274" spans="1:9" ht="11.25" customHeight="1">
      <c r="A1274" t="s">
        <v>2246</v>
      </c>
      <c r="B1274" t="s">
        <v>16</v>
      </c>
      <c r="C1274" t="s">
        <v>4381</v>
      </c>
      <c r="D1274" t="s">
        <v>4382</v>
      </c>
      <c r="E1274" t="s">
        <v>4383</v>
      </c>
      <c r="F1274" t="s">
        <v>2400</v>
      </c>
      <c r="G1274" t="s">
        <v>4384</v>
      </c>
      <c r="H1274" t="s">
        <v>28</v>
      </c>
      <c r="I1274" t="s">
        <v>905</v>
      </c>
    </row>
    <row r="1275" spans="1:9" ht="11.25" customHeight="1">
      <c r="A1275" t="s">
        <v>2246</v>
      </c>
      <c r="B1275" t="s">
        <v>16</v>
      </c>
      <c r="C1275" t="s">
        <v>4385</v>
      </c>
      <c r="D1275" t="s">
        <v>4386</v>
      </c>
      <c r="E1275" t="s">
        <v>4387</v>
      </c>
      <c r="F1275" t="s">
        <v>2582</v>
      </c>
      <c r="G1275" t="s">
        <v>28</v>
      </c>
      <c r="H1275" t="s">
        <v>28</v>
      </c>
      <c r="I1275" t="s">
        <v>905</v>
      </c>
    </row>
    <row r="1276" spans="1:9" ht="11.25" customHeight="1">
      <c r="A1276" t="s">
        <v>2246</v>
      </c>
      <c r="B1276" t="s">
        <v>16</v>
      </c>
      <c r="C1276" t="s">
        <v>3129</v>
      </c>
      <c r="D1276" t="s">
        <v>3130</v>
      </c>
      <c r="E1276" t="s">
        <v>3131</v>
      </c>
      <c r="F1276" t="s">
        <v>2582</v>
      </c>
      <c r="G1276" t="s">
        <v>3132</v>
      </c>
      <c r="H1276" t="s">
        <v>28</v>
      </c>
      <c r="I1276" t="s">
        <v>905</v>
      </c>
    </row>
    <row r="1277" spans="1:9" ht="11.25" customHeight="1">
      <c r="A1277" t="s">
        <v>2246</v>
      </c>
      <c r="B1277" t="s">
        <v>16</v>
      </c>
      <c r="C1277" t="s">
        <v>3133</v>
      </c>
      <c r="D1277" t="s">
        <v>3134</v>
      </c>
      <c r="E1277" t="s">
        <v>3135</v>
      </c>
      <c r="F1277" t="s">
        <v>2268</v>
      </c>
      <c r="G1277" t="s">
        <v>3136</v>
      </c>
      <c r="H1277" t="s">
        <v>28</v>
      </c>
      <c r="I1277" t="s">
        <v>905</v>
      </c>
    </row>
    <row r="1278" spans="1:9" ht="11.25" customHeight="1">
      <c r="A1278" t="s">
        <v>2246</v>
      </c>
      <c r="B1278" t="s">
        <v>16</v>
      </c>
      <c r="C1278" t="s">
        <v>4392</v>
      </c>
      <c r="D1278" t="s">
        <v>4393</v>
      </c>
      <c r="E1278" t="s">
        <v>4394</v>
      </c>
      <c r="F1278" t="s">
        <v>2286</v>
      </c>
      <c r="G1278" t="s">
        <v>28</v>
      </c>
      <c r="H1278" t="s">
        <v>28</v>
      </c>
      <c r="I1278" t="s">
        <v>905</v>
      </c>
    </row>
    <row r="1279" spans="1:9" ht="11.25" customHeight="1">
      <c r="A1279" t="s">
        <v>2246</v>
      </c>
      <c r="B1279" t="s">
        <v>16</v>
      </c>
      <c r="C1279" t="s">
        <v>3137</v>
      </c>
      <c r="D1279" t="s">
        <v>3138</v>
      </c>
      <c r="E1279" t="s">
        <v>3139</v>
      </c>
      <c r="F1279" t="s">
        <v>2250</v>
      </c>
      <c r="G1279" t="s">
        <v>3140</v>
      </c>
      <c r="H1279" t="s">
        <v>28</v>
      </c>
      <c r="I1279" t="s">
        <v>905</v>
      </c>
    </row>
    <row r="1280" spans="1:9" ht="11.25" customHeight="1">
      <c r="A1280" t="s">
        <v>2246</v>
      </c>
      <c r="B1280" t="s">
        <v>16</v>
      </c>
      <c r="C1280" t="s">
        <v>3144</v>
      </c>
      <c r="D1280" t="s">
        <v>3145</v>
      </c>
      <c r="E1280" t="s">
        <v>3146</v>
      </c>
      <c r="F1280" t="s">
        <v>2295</v>
      </c>
      <c r="G1280" t="s">
        <v>3147</v>
      </c>
      <c r="H1280" t="s">
        <v>28</v>
      </c>
      <c r="I1280" t="s">
        <v>905</v>
      </c>
    </row>
    <row r="1281" spans="1:9" ht="11.25" customHeight="1">
      <c r="A1281" t="s">
        <v>2246</v>
      </c>
      <c r="B1281" t="s">
        <v>16</v>
      </c>
      <c r="C1281" t="s">
        <v>3148</v>
      </c>
      <c r="D1281" t="s">
        <v>3149</v>
      </c>
      <c r="E1281" t="s">
        <v>3150</v>
      </c>
      <c r="F1281" t="s">
        <v>2250</v>
      </c>
      <c r="G1281" t="s">
        <v>2269</v>
      </c>
      <c r="H1281" t="s">
        <v>28</v>
      </c>
      <c r="I1281" t="s">
        <v>905</v>
      </c>
    </row>
    <row r="1282" spans="1:9" ht="11.25" customHeight="1">
      <c r="A1282" t="s">
        <v>2246</v>
      </c>
      <c r="B1282" t="s">
        <v>16</v>
      </c>
      <c r="C1282" t="s">
        <v>3151</v>
      </c>
      <c r="D1282" t="s">
        <v>3152</v>
      </c>
      <c r="E1282" t="s">
        <v>3153</v>
      </c>
      <c r="F1282" t="s">
        <v>2286</v>
      </c>
      <c r="G1282" t="s">
        <v>28</v>
      </c>
      <c r="H1282" t="s">
        <v>28</v>
      </c>
      <c r="I1282" t="s">
        <v>905</v>
      </c>
    </row>
    <row r="1283" spans="1:9" ht="11.25" customHeight="1">
      <c r="A1283" t="s">
        <v>2246</v>
      </c>
      <c r="B1283" t="s">
        <v>16</v>
      </c>
      <c r="C1283" t="s">
        <v>3169</v>
      </c>
      <c r="D1283" t="s">
        <v>3170</v>
      </c>
      <c r="E1283" t="s">
        <v>3171</v>
      </c>
      <c r="F1283" t="s">
        <v>2250</v>
      </c>
      <c r="G1283" t="s">
        <v>3172</v>
      </c>
      <c r="H1283" t="s">
        <v>28</v>
      </c>
      <c r="I1283" t="s">
        <v>905</v>
      </c>
    </row>
    <row r="1284" spans="1:9" ht="11.25" customHeight="1">
      <c r="A1284" t="s">
        <v>2246</v>
      </c>
      <c r="B1284" t="s">
        <v>16</v>
      </c>
      <c r="C1284" t="s">
        <v>3173</v>
      </c>
      <c r="D1284" t="s">
        <v>3174</v>
      </c>
      <c r="E1284" t="s">
        <v>3175</v>
      </c>
      <c r="F1284" t="s">
        <v>2352</v>
      </c>
      <c r="G1284" t="s">
        <v>3176</v>
      </c>
      <c r="H1284" t="s">
        <v>28</v>
      </c>
      <c r="I1284" t="s">
        <v>905</v>
      </c>
    </row>
    <row r="1285" spans="1:9" ht="11.25" customHeight="1">
      <c r="A1285" t="s">
        <v>2246</v>
      </c>
      <c r="B1285" t="s">
        <v>16</v>
      </c>
      <c r="C1285" t="s">
        <v>3177</v>
      </c>
      <c r="D1285" t="s">
        <v>3178</v>
      </c>
      <c r="E1285" t="s">
        <v>3179</v>
      </c>
      <c r="F1285" t="s">
        <v>3180</v>
      </c>
      <c r="G1285" t="s">
        <v>28</v>
      </c>
      <c r="H1285" t="s">
        <v>28</v>
      </c>
      <c r="I1285" t="s">
        <v>905</v>
      </c>
    </row>
    <row r="1286" spans="1:9" ht="11.25" customHeight="1">
      <c r="A1286" t="s">
        <v>2246</v>
      </c>
      <c r="B1286" t="s">
        <v>16</v>
      </c>
      <c r="C1286" t="s">
        <v>4395</v>
      </c>
      <c r="D1286" t="s">
        <v>4396</v>
      </c>
      <c r="E1286" t="s">
        <v>4397</v>
      </c>
      <c r="F1286" t="s">
        <v>2582</v>
      </c>
      <c r="G1286" t="s">
        <v>4398</v>
      </c>
      <c r="H1286" t="s">
        <v>28</v>
      </c>
      <c r="I1286" t="s">
        <v>905</v>
      </c>
    </row>
    <row r="1287" spans="1:9" ht="11.25" customHeight="1">
      <c r="A1287" t="s">
        <v>2246</v>
      </c>
      <c r="B1287" t="s">
        <v>16</v>
      </c>
      <c r="C1287" t="s">
        <v>3190</v>
      </c>
      <c r="D1287" t="s">
        <v>3191</v>
      </c>
      <c r="E1287" t="s">
        <v>3192</v>
      </c>
      <c r="F1287" t="s">
        <v>2295</v>
      </c>
      <c r="G1287" t="s">
        <v>28</v>
      </c>
      <c r="H1287" t="s">
        <v>28</v>
      </c>
      <c r="I1287" t="s">
        <v>905</v>
      </c>
    </row>
    <row r="1288" spans="1:9" ht="11.25" customHeight="1">
      <c r="A1288" t="s">
        <v>2246</v>
      </c>
      <c r="B1288" t="s">
        <v>16</v>
      </c>
      <c r="C1288" t="s">
        <v>3200</v>
      </c>
      <c r="D1288" t="s">
        <v>3201</v>
      </c>
      <c r="E1288" t="s">
        <v>3202</v>
      </c>
      <c r="F1288" t="s">
        <v>2295</v>
      </c>
      <c r="G1288" t="s">
        <v>28</v>
      </c>
      <c r="H1288" t="s">
        <v>28</v>
      </c>
      <c r="I1288" t="s">
        <v>905</v>
      </c>
    </row>
    <row r="1289" spans="1:9" ht="11.25" customHeight="1">
      <c r="A1289" t="s">
        <v>2246</v>
      </c>
      <c r="B1289" t="s">
        <v>16</v>
      </c>
      <c r="C1289" t="s">
        <v>3203</v>
      </c>
      <c r="D1289" t="s">
        <v>3204</v>
      </c>
      <c r="E1289" t="s">
        <v>3205</v>
      </c>
      <c r="F1289" t="s">
        <v>3206</v>
      </c>
      <c r="G1289" t="s">
        <v>28</v>
      </c>
      <c r="H1289" t="s">
        <v>28</v>
      </c>
      <c r="I1289" t="s">
        <v>905</v>
      </c>
    </row>
    <row r="1290" spans="1:9" ht="11.25" customHeight="1">
      <c r="A1290" t="s">
        <v>2246</v>
      </c>
      <c r="B1290" t="s">
        <v>16</v>
      </c>
      <c r="C1290" t="s">
        <v>4399</v>
      </c>
      <c r="D1290" t="s">
        <v>4400</v>
      </c>
      <c r="E1290" t="s">
        <v>4401</v>
      </c>
      <c r="F1290" t="s">
        <v>2325</v>
      </c>
      <c r="G1290" t="s">
        <v>28</v>
      </c>
      <c r="H1290" t="s">
        <v>28</v>
      </c>
      <c r="I1290" t="s">
        <v>905</v>
      </c>
    </row>
    <row r="1291" spans="1:9" ht="11.25" customHeight="1">
      <c r="A1291" t="s">
        <v>2246</v>
      </c>
      <c r="B1291" t="s">
        <v>16</v>
      </c>
      <c r="C1291" t="s">
        <v>4563</v>
      </c>
      <c r="D1291" t="s">
        <v>4564</v>
      </c>
      <c r="E1291" t="s">
        <v>4565</v>
      </c>
      <c r="F1291" t="s">
        <v>2989</v>
      </c>
      <c r="G1291" t="s">
        <v>28</v>
      </c>
      <c r="H1291" t="s">
        <v>28</v>
      </c>
      <c r="I1291" t="s">
        <v>905</v>
      </c>
    </row>
    <row r="1292" spans="1:9" ht="11.25" customHeight="1">
      <c r="A1292" t="s">
        <v>2246</v>
      </c>
      <c r="B1292" t="s">
        <v>16</v>
      </c>
      <c r="C1292" t="s">
        <v>3207</v>
      </c>
      <c r="D1292" t="s">
        <v>3208</v>
      </c>
      <c r="E1292" t="s">
        <v>3209</v>
      </c>
      <c r="F1292" t="s">
        <v>2400</v>
      </c>
      <c r="G1292" t="s">
        <v>28</v>
      </c>
      <c r="H1292" t="s">
        <v>28</v>
      </c>
      <c r="I1292" t="s">
        <v>905</v>
      </c>
    </row>
    <row r="1293" spans="1:9" ht="11.25" customHeight="1">
      <c r="A1293" t="s">
        <v>2246</v>
      </c>
      <c r="B1293" t="s">
        <v>16</v>
      </c>
      <c r="C1293" t="s">
        <v>3229</v>
      </c>
      <c r="D1293" t="s">
        <v>3230</v>
      </c>
      <c r="E1293" t="s">
        <v>3231</v>
      </c>
      <c r="F1293" t="s">
        <v>2343</v>
      </c>
      <c r="G1293" t="s">
        <v>28</v>
      </c>
      <c r="H1293" t="s">
        <v>28</v>
      </c>
      <c r="I1293" t="s">
        <v>905</v>
      </c>
    </row>
    <row r="1294" spans="1:9" ht="11.25" customHeight="1">
      <c r="A1294" t="s">
        <v>2246</v>
      </c>
      <c r="B1294" t="s">
        <v>16</v>
      </c>
      <c r="C1294" t="s">
        <v>3238</v>
      </c>
      <c r="D1294" t="s">
        <v>3239</v>
      </c>
      <c r="E1294" t="s">
        <v>3240</v>
      </c>
      <c r="F1294" t="s">
        <v>2295</v>
      </c>
      <c r="G1294" t="s">
        <v>28</v>
      </c>
      <c r="H1294" t="s">
        <v>28</v>
      </c>
      <c r="I1294" t="s">
        <v>905</v>
      </c>
    </row>
    <row r="1295" spans="1:9" ht="11.25" customHeight="1">
      <c r="A1295" t="s">
        <v>2246</v>
      </c>
      <c r="B1295" t="s">
        <v>16</v>
      </c>
      <c r="C1295" t="s">
        <v>4566</v>
      </c>
      <c r="D1295" t="s">
        <v>4567</v>
      </c>
      <c r="E1295" t="s">
        <v>4568</v>
      </c>
      <c r="F1295" t="s">
        <v>2347</v>
      </c>
      <c r="G1295" t="s">
        <v>28</v>
      </c>
      <c r="H1295" t="s">
        <v>28</v>
      </c>
      <c r="I1295" t="s">
        <v>905</v>
      </c>
    </row>
    <row r="1296" spans="1:9" ht="11.25" customHeight="1">
      <c r="A1296" t="s">
        <v>2246</v>
      </c>
      <c r="B1296" t="s">
        <v>16</v>
      </c>
      <c r="C1296" t="s">
        <v>4402</v>
      </c>
      <c r="D1296" t="s">
        <v>4403</v>
      </c>
      <c r="E1296" t="s">
        <v>4404</v>
      </c>
      <c r="F1296" t="s">
        <v>2360</v>
      </c>
      <c r="G1296" t="s">
        <v>28</v>
      </c>
      <c r="H1296" t="s">
        <v>28</v>
      </c>
      <c r="I1296" t="s">
        <v>905</v>
      </c>
    </row>
    <row r="1297" spans="1:9" ht="11.25" customHeight="1">
      <c r="A1297" t="s">
        <v>2246</v>
      </c>
      <c r="B1297" t="s">
        <v>16</v>
      </c>
      <c r="C1297" t="s">
        <v>3279</v>
      </c>
      <c r="D1297" t="s">
        <v>3280</v>
      </c>
      <c r="E1297" t="s">
        <v>3281</v>
      </c>
      <c r="F1297" t="s">
        <v>3282</v>
      </c>
      <c r="G1297" t="s">
        <v>28</v>
      </c>
      <c r="H1297" t="s">
        <v>28</v>
      </c>
      <c r="I1297" t="s">
        <v>905</v>
      </c>
    </row>
    <row r="1298" spans="1:9" ht="11.25" customHeight="1">
      <c r="A1298" t="s">
        <v>2246</v>
      </c>
      <c r="B1298" t="s">
        <v>16</v>
      </c>
      <c r="C1298" t="s">
        <v>3299</v>
      </c>
      <c r="D1298" t="s">
        <v>3300</v>
      </c>
      <c r="E1298" t="s">
        <v>3301</v>
      </c>
      <c r="F1298" t="s">
        <v>2268</v>
      </c>
      <c r="G1298" t="s">
        <v>28</v>
      </c>
      <c r="H1298" t="s">
        <v>28</v>
      </c>
      <c r="I1298" t="s">
        <v>905</v>
      </c>
    </row>
    <row r="1299" spans="1:9" ht="11.25" customHeight="1">
      <c r="A1299" t="s">
        <v>2246</v>
      </c>
      <c r="B1299" t="s">
        <v>16</v>
      </c>
      <c r="C1299" t="s">
        <v>4411</v>
      </c>
      <c r="D1299" t="s">
        <v>4412</v>
      </c>
      <c r="E1299" t="s">
        <v>4413</v>
      </c>
      <c r="F1299" t="s">
        <v>2273</v>
      </c>
      <c r="G1299" t="s">
        <v>28</v>
      </c>
      <c r="H1299" t="s">
        <v>28</v>
      </c>
      <c r="I1299" t="s">
        <v>905</v>
      </c>
    </row>
    <row r="1300" spans="1:9" ht="11.25" customHeight="1">
      <c r="A1300" t="s">
        <v>2246</v>
      </c>
      <c r="B1300" t="s">
        <v>16</v>
      </c>
      <c r="C1300" t="s">
        <v>4569</v>
      </c>
      <c r="D1300" t="s">
        <v>4570</v>
      </c>
      <c r="E1300" t="s">
        <v>4571</v>
      </c>
      <c r="F1300" t="s">
        <v>2250</v>
      </c>
      <c r="G1300" t="s">
        <v>28</v>
      </c>
      <c r="H1300" t="s">
        <v>28</v>
      </c>
      <c r="I1300" t="s">
        <v>905</v>
      </c>
    </row>
    <row r="1301" spans="1:9" ht="11.25" customHeight="1">
      <c r="A1301" t="s">
        <v>2246</v>
      </c>
      <c r="B1301" t="s">
        <v>16</v>
      </c>
      <c r="C1301" t="s">
        <v>3305</v>
      </c>
      <c r="D1301" t="s">
        <v>3306</v>
      </c>
      <c r="E1301" t="s">
        <v>3307</v>
      </c>
      <c r="F1301" t="s">
        <v>2687</v>
      </c>
      <c r="G1301" t="s">
        <v>28</v>
      </c>
      <c r="H1301" t="s">
        <v>28</v>
      </c>
      <c r="I1301" t="s">
        <v>905</v>
      </c>
    </row>
    <row r="1302" spans="1:9" ht="11.25" customHeight="1">
      <c r="A1302" t="s">
        <v>2246</v>
      </c>
      <c r="B1302" t="s">
        <v>16</v>
      </c>
      <c r="C1302" t="s">
        <v>4414</v>
      </c>
      <c r="D1302" t="s">
        <v>4415</v>
      </c>
      <c r="E1302" t="s">
        <v>4416</v>
      </c>
      <c r="F1302" t="s">
        <v>2268</v>
      </c>
      <c r="G1302" t="s">
        <v>28</v>
      </c>
      <c r="H1302" t="s">
        <v>28</v>
      </c>
      <c r="I1302" t="s">
        <v>905</v>
      </c>
    </row>
    <row r="1303" spans="1:9" ht="11.25" customHeight="1">
      <c r="A1303" t="s">
        <v>2246</v>
      </c>
      <c r="B1303" t="s">
        <v>16</v>
      </c>
      <c r="C1303" t="s">
        <v>3311</v>
      </c>
      <c r="D1303" t="s">
        <v>3312</v>
      </c>
      <c r="E1303" t="s">
        <v>3313</v>
      </c>
      <c r="F1303" t="s">
        <v>2582</v>
      </c>
      <c r="G1303" t="s">
        <v>28</v>
      </c>
      <c r="H1303" t="s">
        <v>28</v>
      </c>
      <c r="I1303" t="s">
        <v>905</v>
      </c>
    </row>
    <row r="1304" spans="1:9" ht="11.25" customHeight="1">
      <c r="A1304" t="s">
        <v>2246</v>
      </c>
      <c r="B1304" t="s">
        <v>16</v>
      </c>
      <c r="C1304" t="s">
        <v>4417</v>
      </c>
      <c r="D1304" t="s">
        <v>4418</v>
      </c>
      <c r="E1304" t="s">
        <v>4419</v>
      </c>
      <c r="F1304" t="s">
        <v>2250</v>
      </c>
      <c r="G1304" t="s">
        <v>28</v>
      </c>
      <c r="H1304" t="s">
        <v>28</v>
      </c>
      <c r="I1304" t="s">
        <v>905</v>
      </c>
    </row>
    <row r="1305" spans="1:9" ht="11.25" customHeight="1">
      <c r="A1305" t="s">
        <v>2246</v>
      </c>
      <c r="B1305" t="s">
        <v>16</v>
      </c>
      <c r="C1305" t="s">
        <v>3360</v>
      </c>
      <c r="D1305" t="s">
        <v>3361</v>
      </c>
      <c r="E1305" t="s">
        <v>3362</v>
      </c>
      <c r="F1305" t="s">
        <v>2295</v>
      </c>
      <c r="G1305" t="s">
        <v>28</v>
      </c>
      <c r="H1305" t="s">
        <v>28</v>
      </c>
      <c r="I1305" t="s">
        <v>905</v>
      </c>
    </row>
    <row r="1306" spans="1:9" ht="11.25" customHeight="1">
      <c r="A1306" t="s">
        <v>2246</v>
      </c>
      <c r="B1306" t="s">
        <v>16</v>
      </c>
      <c r="C1306" t="s">
        <v>4423</v>
      </c>
      <c r="D1306" t="s">
        <v>4424</v>
      </c>
      <c r="E1306" t="s">
        <v>4425</v>
      </c>
      <c r="F1306" t="s">
        <v>2250</v>
      </c>
      <c r="G1306" t="s">
        <v>28</v>
      </c>
      <c r="H1306" t="s">
        <v>28</v>
      </c>
      <c r="I1306" t="s">
        <v>905</v>
      </c>
    </row>
    <row r="1307" spans="1:9" ht="11.25" customHeight="1">
      <c r="A1307" t="s">
        <v>2246</v>
      </c>
      <c r="B1307" t="s">
        <v>16</v>
      </c>
      <c r="C1307" t="s">
        <v>3375</v>
      </c>
      <c r="D1307" t="s">
        <v>3376</v>
      </c>
      <c r="E1307" t="s">
        <v>3377</v>
      </c>
      <c r="F1307" t="s">
        <v>2332</v>
      </c>
      <c r="G1307" t="s">
        <v>28</v>
      </c>
      <c r="H1307" t="s">
        <v>28</v>
      </c>
      <c r="I1307" t="s">
        <v>905</v>
      </c>
    </row>
    <row r="1308" spans="1:9" ht="11.25" customHeight="1">
      <c r="A1308" t="s">
        <v>2246</v>
      </c>
      <c r="B1308" t="s">
        <v>16</v>
      </c>
      <c r="C1308" t="s">
        <v>4426</v>
      </c>
      <c r="D1308" t="s">
        <v>4427</v>
      </c>
      <c r="E1308" t="s">
        <v>4428</v>
      </c>
      <c r="F1308" t="s">
        <v>2332</v>
      </c>
      <c r="G1308" t="s">
        <v>28</v>
      </c>
      <c r="H1308" t="s">
        <v>28</v>
      </c>
      <c r="I1308" t="s">
        <v>905</v>
      </c>
    </row>
    <row r="1309" spans="1:9" ht="11.25" customHeight="1">
      <c r="A1309" t="s">
        <v>2246</v>
      </c>
      <c r="B1309" t="s">
        <v>16</v>
      </c>
      <c r="C1309" t="s">
        <v>4572</v>
      </c>
      <c r="D1309" t="s">
        <v>4573</v>
      </c>
      <c r="E1309" t="s">
        <v>4574</v>
      </c>
      <c r="F1309" t="s">
        <v>2582</v>
      </c>
      <c r="G1309" t="s">
        <v>28</v>
      </c>
      <c r="H1309" t="s">
        <v>28</v>
      </c>
      <c r="I1309" t="s">
        <v>905</v>
      </c>
    </row>
    <row r="1310" spans="1:9" ht="11.25" customHeight="1">
      <c r="A1310" t="s">
        <v>2246</v>
      </c>
      <c r="B1310" t="s">
        <v>16</v>
      </c>
      <c r="C1310" t="s">
        <v>3467</v>
      </c>
      <c r="D1310" t="s">
        <v>3468</v>
      </c>
      <c r="E1310" t="s">
        <v>2258</v>
      </c>
      <c r="F1310" t="s">
        <v>2462</v>
      </c>
      <c r="G1310" t="s">
        <v>28</v>
      </c>
      <c r="H1310" t="s">
        <v>28</v>
      </c>
      <c r="I1310" t="s">
        <v>905</v>
      </c>
    </row>
    <row r="1311" spans="1:9" ht="11.25" customHeight="1">
      <c r="A1311" t="s">
        <v>2246</v>
      </c>
      <c r="B1311" t="s">
        <v>16</v>
      </c>
      <c r="C1311" t="s">
        <v>3469</v>
      </c>
      <c r="D1311" t="s">
        <v>3470</v>
      </c>
      <c r="E1311" t="s">
        <v>2309</v>
      </c>
      <c r="F1311" t="s">
        <v>3471</v>
      </c>
      <c r="G1311" t="s">
        <v>2314</v>
      </c>
      <c r="H1311" t="s">
        <v>28</v>
      </c>
      <c r="I1311" t="s">
        <v>905</v>
      </c>
    </row>
    <row r="1312" spans="1:9" ht="11.25" customHeight="1">
      <c r="A1312" t="s">
        <v>2246</v>
      </c>
      <c r="B1312" t="s">
        <v>16</v>
      </c>
      <c r="C1312" t="s">
        <v>4429</v>
      </c>
      <c r="D1312" t="s">
        <v>4430</v>
      </c>
      <c r="E1312" t="s">
        <v>4431</v>
      </c>
      <c r="F1312" t="s">
        <v>3761</v>
      </c>
      <c r="G1312" t="s">
        <v>28</v>
      </c>
      <c r="H1312" t="s">
        <v>28</v>
      </c>
      <c r="I1312" t="s">
        <v>905</v>
      </c>
    </row>
    <row r="1313" spans="1:9" ht="11.25" customHeight="1">
      <c r="A1313" t="s">
        <v>2246</v>
      </c>
      <c r="B1313" t="s">
        <v>16</v>
      </c>
      <c r="C1313" t="s">
        <v>4575</v>
      </c>
      <c r="D1313" t="s">
        <v>4576</v>
      </c>
      <c r="E1313" t="s">
        <v>4577</v>
      </c>
      <c r="F1313" t="s">
        <v>2384</v>
      </c>
      <c r="G1313" t="s">
        <v>4578</v>
      </c>
      <c r="H1313" t="s">
        <v>28</v>
      </c>
      <c r="I1313" t="s">
        <v>905</v>
      </c>
    </row>
    <row r="1314" spans="1:9" ht="11.25" customHeight="1">
      <c r="A1314" t="s">
        <v>2246</v>
      </c>
      <c r="B1314" t="s">
        <v>16</v>
      </c>
      <c r="C1314" t="s">
        <v>4432</v>
      </c>
      <c r="D1314" t="s">
        <v>4433</v>
      </c>
      <c r="E1314" t="s">
        <v>4434</v>
      </c>
      <c r="F1314" t="s">
        <v>2332</v>
      </c>
      <c r="G1314" t="s">
        <v>28</v>
      </c>
      <c r="H1314" t="s">
        <v>28</v>
      </c>
      <c r="I1314" t="s">
        <v>905</v>
      </c>
    </row>
    <row r="1315" spans="1:9" ht="11.25" customHeight="1">
      <c r="A1315" t="s">
        <v>2246</v>
      </c>
      <c r="B1315" t="s">
        <v>16</v>
      </c>
      <c r="C1315" t="s">
        <v>3490</v>
      </c>
      <c r="D1315" t="s">
        <v>3491</v>
      </c>
      <c r="E1315" t="s">
        <v>3492</v>
      </c>
      <c r="F1315" t="s">
        <v>2332</v>
      </c>
      <c r="G1315" t="s">
        <v>3493</v>
      </c>
      <c r="H1315" t="s">
        <v>28</v>
      </c>
      <c r="I1315" t="s">
        <v>905</v>
      </c>
    </row>
    <row r="1316" spans="1:9" ht="11.25" customHeight="1">
      <c r="A1316" t="s">
        <v>2246</v>
      </c>
      <c r="B1316" t="s">
        <v>16</v>
      </c>
      <c r="C1316" t="s">
        <v>4440</v>
      </c>
      <c r="D1316" t="s">
        <v>4441</v>
      </c>
      <c r="E1316" t="s">
        <v>4442</v>
      </c>
      <c r="F1316" t="s">
        <v>50</v>
      </c>
      <c r="G1316" t="s">
        <v>28</v>
      </c>
      <c r="H1316" t="s">
        <v>28</v>
      </c>
      <c r="I1316" t="s">
        <v>905</v>
      </c>
    </row>
    <row r="1317" spans="1:9" ht="11.25" customHeight="1">
      <c r="A1317" t="s">
        <v>2246</v>
      </c>
      <c r="B1317" t="s">
        <v>16</v>
      </c>
      <c r="C1317" t="s">
        <v>3507</v>
      </c>
      <c r="D1317" t="s">
        <v>3508</v>
      </c>
      <c r="E1317" t="s">
        <v>3509</v>
      </c>
      <c r="F1317" t="s">
        <v>2724</v>
      </c>
      <c r="G1317" t="s">
        <v>3510</v>
      </c>
      <c r="H1317" t="s">
        <v>28</v>
      </c>
      <c r="I1317" t="s">
        <v>905</v>
      </c>
    </row>
    <row r="1318" spans="1:9" ht="11.25" customHeight="1">
      <c r="A1318" t="s">
        <v>2246</v>
      </c>
      <c r="B1318" t="s">
        <v>16</v>
      </c>
      <c r="C1318" t="s">
        <v>3511</v>
      </c>
      <c r="D1318" t="s">
        <v>3512</v>
      </c>
      <c r="E1318" t="s">
        <v>3513</v>
      </c>
      <c r="F1318" t="s">
        <v>2325</v>
      </c>
      <c r="G1318" t="s">
        <v>3514</v>
      </c>
      <c r="H1318" t="s">
        <v>28</v>
      </c>
      <c r="I1318" t="s">
        <v>905</v>
      </c>
    </row>
    <row r="1319" spans="1:9" ht="11.25" customHeight="1">
      <c r="A1319" t="s">
        <v>2246</v>
      </c>
      <c r="B1319" t="s">
        <v>16</v>
      </c>
      <c r="C1319" t="s">
        <v>13</v>
      </c>
      <c r="D1319" t="s">
        <v>45</v>
      </c>
      <c r="E1319" t="s">
        <v>48</v>
      </c>
      <c r="F1319" t="s">
        <v>50</v>
      </c>
      <c r="G1319" t="s">
        <v>3518</v>
      </c>
      <c r="H1319" t="s">
        <v>28</v>
      </c>
      <c r="I1319" t="s">
        <v>905</v>
      </c>
    </row>
    <row r="1320" spans="1:9" ht="11.25" customHeight="1">
      <c r="A1320" t="s">
        <v>2246</v>
      </c>
      <c r="B1320" t="s">
        <v>16</v>
      </c>
      <c r="C1320" t="s">
        <v>4579</v>
      </c>
      <c r="D1320" t="s">
        <v>4580</v>
      </c>
      <c r="E1320" t="s">
        <v>4581</v>
      </c>
      <c r="F1320" t="s">
        <v>2582</v>
      </c>
      <c r="G1320" t="s">
        <v>4582</v>
      </c>
      <c r="H1320" t="s">
        <v>28</v>
      </c>
      <c r="I1320" t="s">
        <v>905</v>
      </c>
    </row>
    <row r="1321" spans="1:9" ht="11.25" customHeight="1">
      <c r="A1321" t="s">
        <v>2246</v>
      </c>
      <c r="B1321" t="s">
        <v>16</v>
      </c>
      <c r="C1321" t="s">
        <v>4451</v>
      </c>
      <c r="D1321" t="s">
        <v>4452</v>
      </c>
      <c r="E1321" t="s">
        <v>4453</v>
      </c>
      <c r="F1321" t="s">
        <v>2303</v>
      </c>
      <c r="G1321" t="s">
        <v>28</v>
      </c>
      <c r="H1321" t="s">
        <v>28</v>
      </c>
      <c r="I1321" t="s">
        <v>905</v>
      </c>
    </row>
    <row r="1322" spans="1:9" ht="11.25" customHeight="1">
      <c r="A1322" t="s">
        <v>2246</v>
      </c>
      <c r="B1322" t="s">
        <v>16</v>
      </c>
      <c r="C1322" t="s">
        <v>3525</v>
      </c>
      <c r="D1322" t="s">
        <v>3526</v>
      </c>
      <c r="E1322" t="s">
        <v>3527</v>
      </c>
      <c r="F1322" t="s">
        <v>2325</v>
      </c>
      <c r="G1322" t="s">
        <v>28</v>
      </c>
      <c r="H1322" t="s">
        <v>28</v>
      </c>
      <c r="I1322" t="s">
        <v>905</v>
      </c>
    </row>
    <row r="1323" spans="1:9" ht="11.25" customHeight="1">
      <c r="A1323" t="s">
        <v>2246</v>
      </c>
      <c r="B1323" t="s">
        <v>16</v>
      </c>
      <c r="C1323" t="s">
        <v>4454</v>
      </c>
      <c r="D1323" t="s">
        <v>4455</v>
      </c>
      <c r="E1323" t="s">
        <v>4456</v>
      </c>
      <c r="F1323" t="s">
        <v>2295</v>
      </c>
      <c r="G1323" t="s">
        <v>4457</v>
      </c>
      <c r="H1323" t="s">
        <v>28</v>
      </c>
      <c r="I1323" t="s">
        <v>905</v>
      </c>
    </row>
    <row r="1324" spans="1:9" ht="11.25" customHeight="1">
      <c r="A1324" t="s">
        <v>2246</v>
      </c>
      <c r="B1324" t="s">
        <v>16</v>
      </c>
      <c r="C1324" t="s">
        <v>3528</v>
      </c>
      <c r="D1324" t="s">
        <v>3529</v>
      </c>
      <c r="E1324" t="s">
        <v>3530</v>
      </c>
      <c r="F1324" t="s">
        <v>3531</v>
      </c>
      <c r="G1324" t="s">
        <v>28</v>
      </c>
      <c r="H1324" t="s">
        <v>28</v>
      </c>
      <c r="I1324" t="s">
        <v>905</v>
      </c>
    </row>
    <row r="1325" spans="1:9" ht="11.25" customHeight="1">
      <c r="A1325" t="s">
        <v>2246</v>
      </c>
      <c r="B1325" t="s">
        <v>16</v>
      </c>
      <c r="C1325" t="s">
        <v>4458</v>
      </c>
      <c r="D1325" t="s">
        <v>4459</v>
      </c>
      <c r="E1325" t="s">
        <v>3530</v>
      </c>
      <c r="F1325" t="s">
        <v>4460</v>
      </c>
      <c r="G1325" t="s">
        <v>4461</v>
      </c>
      <c r="H1325" t="s">
        <v>28</v>
      </c>
      <c r="I1325" t="s">
        <v>905</v>
      </c>
    </row>
    <row r="1326" spans="1:9" ht="11.25" customHeight="1">
      <c r="A1326" t="s">
        <v>2246</v>
      </c>
      <c r="B1326" t="s">
        <v>16</v>
      </c>
      <c r="C1326" t="s">
        <v>3546</v>
      </c>
      <c r="D1326" t="s">
        <v>3547</v>
      </c>
      <c r="E1326" t="s">
        <v>3530</v>
      </c>
      <c r="F1326" t="s">
        <v>3548</v>
      </c>
      <c r="G1326" t="s">
        <v>28</v>
      </c>
      <c r="H1326" t="s">
        <v>28</v>
      </c>
      <c r="I1326" t="s">
        <v>905</v>
      </c>
    </row>
    <row r="1327" spans="1:9" ht="11.25" customHeight="1">
      <c r="A1327" t="s">
        <v>2246</v>
      </c>
      <c r="B1327" t="s">
        <v>16</v>
      </c>
      <c r="C1327" t="s">
        <v>3561</v>
      </c>
      <c r="D1327" t="s">
        <v>3562</v>
      </c>
      <c r="E1327" t="s">
        <v>3563</v>
      </c>
      <c r="F1327" t="s">
        <v>2668</v>
      </c>
      <c r="G1327" t="s">
        <v>3564</v>
      </c>
      <c r="H1327" t="s">
        <v>28</v>
      </c>
      <c r="I1327" t="s">
        <v>905</v>
      </c>
    </row>
    <row r="1328" spans="1:9" ht="11.25" customHeight="1">
      <c r="A1328" t="s">
        <v>2246</v>
      </c>
      <c r="B1328" t="s">
        <v>16</v>
      </c>
      <c r="C1328" t="s">
        <v>3565</v>
      </c>
      <c r="D1328" t="s">
        <v>3566</v>
      </c>
      <c r="E1328" t="s">
        <v>3563</v>
      </c>
      <c r="F1328" t="s">
        <v>3567</v>
      </c>
      <c r="G1328" t="s">
        <v>3564</v>
      </c>
      <c r="H1328" t="s">
        <v>28</v>
      </c>
      <c r="I1328" t="s">
        <v>905</v>
      </c>
    </row>
    <row r="1329" spans="1:9" ht="11.25" customHeight="1">
      <c r="A1329" t="s">
        <v>2246</v>
      </c>
      <c r="B1329" t="s">
        <v>16</v>
      </c>
      <c r="C1329" t="s">
        <v>3593</v>
      </c>
      <c r="D1329" t="s">
        <v>3594</v>
      </c>
      <c r="E1329" t="s">
        <v>3595</v>
      </c>
      <c r="F1329" t="s">
        <v>2250</v>
      </c>
      <c r="G1329" t="s">
        <v>2725</v>
      </c>
      <c r="H1329" t="s">
        <v>28</v>
      </c>
      <c r="I1329" t="s">
        <v>905</v>
      </c>
    </row>
    <row r="1330" spans="1:9" ht="11.25" customHeight="1">
      <c r="A1330" t="s">
        <v>2246</v>
      </c>
      <c r="B1330" t="s">
        <v>16</v>
      </c>
      <c r="C1330" t="s">
        <v>3606</v>
      </c>
      <c r="D1330" t="s">
        <v>3607</v>
      </c>
      <c r="E1330" t="s">
        <v>3608</v>
      </c>
      <c r="F1330" t="s">
        <v>3609</v>
      </c>
      <c r="G1330" t="s">
        <v>28</v>
      </c>
      <c r="H1330" t="s">
        <v>28</v>
      </c>
      <c r="I1330" t="s">
        <v>905</v>
      </c>
    </row>
    <row r="1331" spans="1:9" ht="11.25" customHeight="1">
      <c r="A1331" t="s">
        <v>2246</v>
      </c>
      <c r="B1331" t="s">
        <v>16</v>
      </c>
      <c r="C1331" t="s">
        <v>4583</v>
      </c>
      <c r="D1331" t="s">
        <v>4584</v>
      </c>
      <c r="E1331" t="s">
        <v>4585</v>
      </c>
      <c r="F1331" t="s">
        <v>3691</v>
      </c>
      <c r="G1331" t="s">
        <v>28</v>
      </c>
      <c r="H1331" t="s">
        <v>28</v>
      </c>
      <c r="I1331" t="s">
        <v>905</v>
      </c>
    </row>
    <row r="1332" spans="1:9" ht="11.25" customHeight="1">
      <c r="A1332" t="s">
        <v>2246</v>
      </c>
      <c r="B1332" t="s">
        <v>16</v>
      </c>
      <c r="C1332" t="s">
        <v>3614</v>
      </c>
      <c r="D1332" t="s">
        <v>3615</v>
      </c>
      <c r="E1332" t="s">
        <v>3616</v>
      </c>
      <c r="F1332" t="s">
        <v>2250</v>
      </c>
      <c r="G1332" t="s">
        <v>28</v>
      </c>
      <c r="H1332" t="s">
        <v>28</v>
      </c>
      <c r="I1332" t="s">
        <v>905</v>
      </c>
    </row>
    <row r="1333" spans="1:9" ht="11.25" customHeight="1">
      <c r="A1333" t="s">
        <v>2246</v>
      </c>
      <c r="B1333" t="s">
        <v>16</v>
      </c>
      <c r="C1333" t="s">
        <v>4466</v>
      </c>
      <c r="D1333" t="s">
        <v>4467</v>
      </c>
      <c r="E1333" t="s">
        <v>4468</v>
      </c>
      <c r="F1333" t="s">
        <v>2332</v>
      </c>
      <c r="G1333" t="s">
        <v>28</v>
      </c>
      <c r="H1333" t="s">
        <v>28</v>
      </c>
      <c r="I1333" t="s">
        <v>905</v>
      </c>
    </row>
    <row r="1334" spans="1:9" ht="11.25" customHeight="1">
      <c r="A1334" t="s">
        <v>2246</v>
      </c>
      <c r="B1334" t="s">
        <v>16</v>
      </c>
      <c r="C1334" t="s">
        <v>3621</v>
      </c>
      <c r="D1334" t="s">
        <v>3622</v>
      </c>
      <c r="E1334" t="s">
        <v>3623</v>
      </c>
      <c r="F1334" t="s">
        <v>2384</v>
      </c>
      <c r="G1334" t="s">
        <v>28</v>
      </c>
      <c r="H1334" t="s">
        <v>28</v>
      </c>
      <c r="I1334" t="s">
        <v>905</v>
      </c>
    </row>
    <row r="1335" spans="1:9" ht="11.25" customHeight="1">
      <c r="A1335" t="s">
        <v>2246</v>
      </c>
      <c r="B1335" t="s">
        <v>16</v>
      </c>
      <c r="C1335" t="s">
        <v>3627</v>
      </c>
      <c r="D1335" t="s">
        <v>3628</v>
      </c>
      <c r="E1335" t="s">
        <v>3629</v>
      </c>
      <c r="F1335" t="s">
        <v>2325</v>
      </c>
      <c r="G1335" t="s">
        <v>28</v>
      </c>
      <c r="H1335" t="s">
        <v>28</v>
      </c>
      <c r="I1335" t="s">
        <v>905</v>
      </c>
    </row>
    <row r="1336" spans="1:9" ht="11.25" customHeight="1">
      <c r="A1336" t="s">
        <v>2246</v>
      </c>
      <c r="B1336" t="s">
        <v>16</v>
      </c>
      <c r="C1336" t="s">
        <v>3640</v>
      </c>
      <c r="D1336" t="s">
        <v>3641</v>
      </c>
      <c r="E1336" t="s">
        <v>3642</v>
      </c>
      <c r="F1336" t="s">
        <v>50</v>
      </c>
      <c r="G1336" t="s">
        <v>28</v>
      </c>
      <c r="H1336" t="s">
        <v>28</v>
      </c>
      <c r="I1336" t="s">
        <v>905</v>
      </c>
    </row>
    <row r="1337" spans="1:9" ht="11.25" customHeight="1">
      <c r="A1337" t="s">
        <v>2246</v>
      </c>
      <c r="B1337" t="s">
        <v>16</v>
      </c>
      <c r="C1337" t="s">
        <v>3653</v>
      </c>
      <c r="D1337" t="s">
        <v>3654</v>
      </c>
      <c r="E1337" t="s">
        <v>3655</v>
      </c>
      <c r="F1337" t="s">
        <v>2384</v>
      </c>
      <c r="G1337" t="s">
        <v>3656</v>
      </c>
      <c r="H1337" t="s">
        <v>28</v>
      </c>
      <c r="I1337" t="s">
        <v>905</v>
      </c>
    </row>
    <row r="1338" spans="1:9" ht="11.25" customHeight="1">
      <c r="A1338" t="s">
        <v>2246</v>
      </c>
      <c r="B1338" t="s">
        <v>16</v>
      </c>
      <c r="C1338" t="s">
        <v>4586</v>
      </c>
      <c r="D1338" t="s">
        <v>4587</v>
      </c>
      <c r="E1338" t="s">
        <v>4588</v>
      </c>
      <c r="F1338" t="s">
        <v>2295</v>
      </c>
      <c r="G1338" t="s">
        <v>28</v>
      </c>
      <c r="H1338" t="s">
        <v>28</v>
      </c>
      <c r="I1338" t="s">
        <v>905</v>
      </c>
    </row>
    <row r="1339" spans="1:9" ht="11.25" customHeight="1">
      <c r="A1339" t="s">
        <v>2246</v>
      </c>
      <c r="B1339" t="s">
        <v>16</v>
      </c>
      <c r="C1339" t="s">
        <v>4469</v>
      </c>
      <c r="D1339" t="s">
        <v>4470</v>
      </c>
      <c r="E1339" t="s">
        <v>4471</v>
      </c>
      <c r="F1339" t="s">
        <v>3188</v>
      </c>
      <c r="G1339" t="s">
        <v>3056</v>
      </c>
      <c r="H1339" t="s">
        <v>28</v>
      </c>
      <c r="I1339" t="s">
        <v>905</v>
      </c>
    </row>
    <row r="1340" spans="1:9" ht="11.25" customHeight="1">
      <c r="A1340" t="s">
        <v>2246</v>
      </c>
      <c r="B1340" t="s">
        <v>16</v>
      </c>
      <c r="C1340" t="s">
        <v>4589</v>
      </c>
      <c r="D1340" t="s">
        <v>4590</v>
      </c>
      <c r="E1340" t="s">
        <v>4591</v>
      </c>
      <c r="F1340" t="s">
        <v>2687</v>
      </c>
      <c r="G1340" t="s">
        <v>28</v>
      </c>
      <c r="H1340" t="s">
        <v>28</v>
      </c>
      <c r="I1340" t="s">
        <v>905</v>
      </c>
    </row>
    <row r="1341" spans="1:9" ht="11.25" customHeight="1">
      <c r="A1341" t="s">
        <v>2246</v>
      </c>
      <c r="B1341" t="s">
        <v>16</v>
      </c>
      <c r="C1341" t="s">
        <v>3699</v>
      </c>
      <c r="D1341" t="s">
        <v>3700</v>
      </c>
      <c r="E1341" t="s">
        <v>3701</v>
      </c>
      <c r="F1341" t="s">
        <v>2332</v>
      </c>
      <c r="G1341" t="s">
        <v>28</v>
      </c>
      <c r="H1341" t="s">
        <v>28</v>
      </c>
      <c r="I1341" t="s">
        <v>905</v>
      </c>
    </row>
    <row r="1342" spans="1:9" ht="11.25" customHeight="1">
      <c r="A1342" t="s">
        <v>2246</v>
      </c>
      <c r="B1342" t="s">
        <v>16</v>
      </c>
      <c r="C1342" t="s">
        <v>4592</v>
      </c>
      <c r="D1342" t="s">
        <v>4593</v>
      </c>
      <c r="E1342" t="s">
        <v>4594</v>
      </c>
      <c r="F1342" t="s">
        <v>3691</v>
      </c>
      <c r="G1342" t="s">
        <v>28</v>
      </c>
      <c r="H1342" t="s">
        <v>28</v>
      </c>
      <c r="I1342" t="s">
        <v>905</v>
      </c>
    </row>
    <row r="1343" spans="1:9" ht="11.25" customHeight="1">
      <c r="A1343" t="s">
        <v>2246</v>
      </c>
      <c r="B1343" t="s">
        <v>16</v>
      </c>
      <c r="C1343" t="s">
        <v>3725</v>
      </c>
      <c r="D1343" t="s">
        <v>3726</v>
      </c>
      <c r="E1343" t="s">
        <v>3727</v>
      </c>
      <c r="F1343" t="s">
        <v>2343</v>
      </c>
      <c r="G1343" t="s">
        <v>28</v>
      </c>
      <c r="H1343" t="s">
        <v>28</v>
      </c>
      <c r="I1343" t="s">
        <v>905</v>
      </c>
    </row>
    <row r="1344" spans="1:9" ht="11.25" customHeight="1">
      <c r="A1344" t="s">
        <v>2246</v>
      </c>
      <c r="B1344" t="s">
        <v>16</v>
      </c>
      <c r="C1344" t="s">
        <v>3728</v>
      </c>
      <c r="D1344" t="s">
        <v>3729</v>
      </c>
      <c r="E1344" t="s">
        <v>3730</v>
      </c>
      <c r="F1344" t="s">
        <v>2758</v>
      </c>
      <c r="G1344" t="s">
        <v>3731</v>
      </c>
      <c r="H1344" t="s">
        <v>28</v>
      </c>
      <c r="I1344" t="s">
        <v>905</v>
      </c>
    </row>
    <row r="1345" spans="1:9" ht="11.25" customHeight="1">
      <c r="A1345" t="s">
        <v>2246</v>
      </c>
      <c r="B1345" t="s">
        <v>16</v>
      </c>
      <c r="C1345" t="s">
        <v>4595</v>
      </c>
      <c r="D1345" t="s">
        <v>4596</v>
      </c>
      <c r="E1345" t="s">
        <v>4597</v>
      </c>
      <c r="F1345" t="s">
        <v>3188</v>
      </c>
      <c r="G1345" t="s">
        <v>4598</v>
      </c>
      <c r="H1345" t="s">
        <v>28</v>
      </c>
      <c r="I1345" t="s">
        <v>905</v>
      </c>
    </row>
    <row r="1346" spans="1:9" ht="11.25" customHeight="1">
      <c r="A1346" t="s">
        <v>2246</v>
      </c>
      <c r="B1346" t="s">
        <v>16</v>
      </c>
      <c r="C1346" t="s">
        <v>3743</v>
      </c>
      <c r="D1346" t="s">
        <v>3744</v>
      </c>
      <c r="E1346" t="s">
        <v>3745</v>
      </c>
      <c r="F1346" t="s">
        <v>2325</v>
      </c>
      <c r="G1346" t="s">
        <v>3746</v>
      </c>
      <c r="H1346" t="s">
        <v>28</v>
      </c>
      <c r="I1346" t="s">
        <v>905</v>
      </c>
    </row>
    <row r="1347" spans="1:9" ht="11.25" customHeight="1">
      <c r="A1347" t="s">
        <v>2246</v>
      </c>
      <c r="B1347" t="s">
        <v>16</v>
      </c>
      <c r="C1347" t="s">
        <v>3754</v>
      </c>
      <c r="D1347" t="s">
        <v>3755</v>
      </c>
      <c r="E1347" t="s">
        <v>3756</v>
      </c>
      <c r="F1347" t="s">
        <v>2325</v>
      </c>
      <c r="G1347" t="s">
        <v>3757</v>
      </c>
      <c r="H1347" t="s">
        <v>28</v>
      </c>
      <c r="I1347" t="s">
        <v>905</v>
      </c>
    </row>
    <row r="1348" spans="1:9" ht="11.25" customHeight="1">
      <c r="A1348" t="s">
        <v>2246</v>
      </c>
      <c r="B1348" t="s">
        <v>16</v>
      </c>
      <c r="C1348" t="s">
        <v>4599</v>
      </c>
      <c r="D1348" t="s">
        <v>4600</v>
      </c>
      <c r="E1348" t="s">
        <v>4601</v>
      </c>
      <c r="F1348" t="s">
        <v>2286</v>
      </c>
      <c r="G1348" t="s">
        <v>28</v>
      </c>
      <c r="H1348" t="s">
        <v>28</v>
      </c>
      <c r="I1348" t="s">
        <v>905</v>
      </c>
    </row>
    <row r="1349" spans="1:9" ht="11.25" customHeight="1">
      <c r="A1349" t="s">
        <v>2246</v>
      </c>
      <c r="B1349" t="s">
        <v>16</v>
      </c>
      <c r="C1349" t="s">
        <v>4472</v>
      </c>
      <c r="D1349" t="s">
        <v>4473</v>
      </c>
      <c r="E1349" t="s">
        <v>4474</v>
      </c>
      <c r="F1349" t="s">
        <v>2343</v>
      </c>
      <c r="G1349" t="s">
        <v>4475</v>
      </c>
      <c r="H1349" t="s">
        <v>28</v>
      </c>
      <c r="I1349" t="s">
        <v>905</v>
      </c>
    </row>
    <row r="1350" spans="1:9" ht="11.25" customHeight="1">
      <c r="A1350" t="s">
        <v>2246</v>
      </c>
      <c r="B1350" t="s">
        <v>16</v>
      </c>
      <c r="C1350" t="s">
        <v>3814</v>
      </c>
      <c r="D1350" t="s">
        <v>3815</v>
      </c>
      <c r="E1350" t="s">
        <v>3816</v>
      </c>
      <c r="F1350" t="s">
        <v>50</v>
      </c>
      <c r="G1350" t="s">
        <v>3817</v>
      </c>
      <c r="H1350" t="s">
        <v>28</v>
      </c>
      <c r="I1350" t="s">
        <v>905</v>
      </c>
    </row>
    <row r="1351" spans="1:9" ht="11.25" customHeight="1">
      <c r="A1351" t="s">
        <v>2246</v>
      </c>
      <c r="B1351" t="s">
        <v>16</v>
      </c>
      <c r="C1351" t="s">
        <v>3824</v>
      </c>
      <c r="D1351" t="s">
        <v>3825</v>
      </c>
      <c r="E1351" t="s">
        <v>3826</v>
      </c>
      <c r="F1351" t="s">
        <v>2250</v>
      </c>
      <c r="G1351" t="s">
        <v>28</v>
      </c>
      <c r="H1351" t="s">
        <v>28</v>
      </c>
      <c r="I1351" t="s">
        <v>905</v>
      </c>
    </row>
    <row r="1352" spans="1:9" ht="11.25" customHeight="1">
      <c r="A1352" t="s">
        <v>2246</v>
      </c>
      <c r="B1352" t="s">
        <v>16</v>
      </c>
      <c r="C1352" t="s">
        <v>3827</v>
      </c>
      <c r="D1352" t="s">
        <v>3828</v>
      </c>
      <c r="E1352" t="s">
        <v>3829</v>
      </c>
      <c r="F1352" t="s">
        <v>2325</v>
      </c>
      <c r="G1352" t="s">
        <v>3830</v>
      </c>
      <c r="H1352" t="s">
        <v>28</v>
      </c>
      <c r="I1352" t="s">
        <v>905</v>
      </c>
    </row>
    <row r="1353" spans="1:9" ht="11.25" customHeight="1">
      <c r="A1353" t="s">
        <v>2246</v>
      </c>
      <c r="B1353" t="s">
        <v>16</v>
      </c>
      <c r="C1353" t="s">
        <v>3842</v>
      </c>
      <c r="D1353" t="s">
        <v>3843</v>
      </c>
      <c r="E1353" t="s">
        <v>3844</v>
      </c>
      <c r="F1353" t="s">
        <v>2574</v>
      </c>
      <c r="G1353" t="s">
        <v>3845</v>
      </c>
      <c r="H1353" t="s">
        <v>28</v>
      </c>
      <c r="I1353" t="s">
        <v>905</v>
      </c>
    </row>
    <row r="1354" spans="1:9" ht="11.25" customHeight="1">
      <c r="A1354" t="s">
        <v>2246</v>
      </c>
      <c r="B1354" t="s">
        <v>16</v>
      </c>
      <c r="C1354" t="s">
        <v>3846</v>
      </c>
      <c r="D1354" t="s">
        <v>3847</v>
      </c>
      <c r="E1354" t="s">
        <v>3848</v>
      </c>
      <c r="F1354" t="s">
        <v>2303</v>
      </c>
      <c r="G1354" t="s">
        <v>28</v>
      </c>
      <c r="H1354" t="s">
        <v>28</v>
      </c>
      <c r="I1354" t="s">
        <v>905</v>
      </c>
    </row>
    <row r="1355" spans="1:9" ht="11.25" customHeight="1">
      <c r="A1355" t="s">
        <v>2246</v>
      </c>
      <c r="B1355" t="s">
        <v>16</v>
      </c>
      <c r="C1355" t="s">
        <v>4602</v>
      </c>
      <c r="D1355" t="s">
        <v>4603</v>
      </c>
      <c r="E1355" t="s">
        <v>4604</v>
      </c>
      <c r="F1355" t="s">
        <v>2343</v>
      </c>
      <c r="G1355" t="s">
        <v>4582</v>
      </c>
      <c r="H1355" t="s">
        <v>28</v>
      </c>
      <c r="I1355" t="s">
        <v>905</v>
      </c>
    </row>
    <row r="1356" spans="1:9" ht="11.25" customHeight="1">
      <c r="A1356" t="s">
        <v>2246</v>
      </c>
      <c r="B1356" t="s">
        <v>16</v>
      </c>
      <c r="C1356" t="s">
        <v>4605</v>
      </c>
      <c r="D1356" t="s">
        <v>4606</v>
      </c>
      <c r="E1356" t="s">
        <v>4607</v>
      </c>
      <c r="F1356" t="s">
        <v>2409</v>
      </c>
      <c r="G1356" t="s">
        <v>28</v>
      </c>
      <c r="H1356" t="s">
        <v>28</v>
      </c>
      <c r="I1356" t="s">
        <v>905</v>
      </c>
    </row>
    <row r="1357" spans="1:9" ht="11.25" customHeight="1">
      <c r="A1357" t="s">
        <v>2246</v>
      </c>
      <c r="B1357" t="s">
        <v>16</v>
      </c>
      <c r="C1357" t="s">
        <v>3895</v>
      </c>
      <c r="D1357" t="s">
        <v>3896</v>
      </c>
      <c r="E1357" t="s">
        <v>3897</v>
      </c>
      <c r="F1357" t="s">
        <v>2325</v>
      </c>
      <c r="G1357" t="s">
        <v>28</v>
      </c>
      <c r="H1357" t="s">
        <v>28</v>
      </c>
      <c r="I1357" t="s">
        <v>905</v>
      </c>
    </row>
    <row r="1358" spans="1:9" ht="11.25" customHeight="1">
      <c r="A1358" t="s">
        <v>2246</v>
      </c>
      <c r="B1358" t="s">
        <v>16</v>
      </c>
      <c r="C1358" t="s">
        <v>4480</v>
      </c>
      <c r="D1358" t="s">
        <v>4481</v>
      </c>
      <c r="E1358" t="s">
        <v>4482</v>
      </c>
      <c r="F1358" t="s">
        <v>3671</v>
      </c>
      <c r="G1358" t="s">
        <v>4483</v>
      </c>
      <c r="H1358" t="s">
        <v>28</v>
      </c>
      <c r="I1358" t="s">
        <v>905</v>
      </c>
    </row>
    <row r="1359" spans="1:9" ht="11.25" customHeight="1">
      <c r="A1359" t="s">
        <v>2246</v>
      </c>
      <c r="B1359" t="s">
        <v>16</v>
      </c>
      <c r="C1359" t="s">
        <v>4608</v>
      </c>
      <c r="D1359" t="s">
        <v>4609</v>
      </c>
      <c r="E1359" t="s">
        <v>4610</v>
      </c>
      <c r="F1359" t="s">
        <v>2687</v>
      </c>
      <c r="G1359" t="s">
        <v>4611</v>
      </c>
      <c r="H1359" t="s">
        <v>28</v>
      </c>
      <c r="I1359" t="s">
        <v>905</v>
      </c>
    </row>
    <row r="1360" spans="1:9" ht="11.25" customHeight="1">
      <c r="A1360" t="s">
        <v>2246</v>
      </c>
      <c r="B1360" t="s">
        <v>16</v>
      </c>
      <c r="C1360" t="s">
        <v>3916</v>
      </c>
      <c r="D1360" t="s">
        <v>3917</v>
      </c>
      <c r="E1360" t="s">
        <v>3918</v>
      </c>
      <c r="F1360" t="s">
        <v>2574</v>
      </c>
      <c r="G1360" t="s">
        <v>28</v>
      </c>
      <c r="H1360" t="s">
        <v>28</v>
      </c>
      <c r="I1360" t="s">
        <v>905</v>
      </c>
    </row>
    <row r="1361" spans="1:9" ht="11.25" customHeight="1">
      <c r="A1361" t="s">
        <v>2246</v>
      </c>
      <c r="B1361" t="s">
        <v>16</v>
      </c>
      <c r="C1361" t="s">
        <v>3922</v>
      </c>
      <c r="D1361" t="s">
        <v>3923</v>
      </c>
      <c r="E1361" t="s">
        <v>3924</v>
      </c>
      <c r="F1361" t="s">
        <v>2343</v>
      </c>
      <c r="G1361" t="s">
        <v>28</v>
      </c>
      <c r="H1361" t="s">
        <v>28</v>
      </c>
      <c r="I1361" t="s">
        <v>905</v>
      </c>
    </row>
    <row r="1362" spans="1:9" ht="11.25" customHeight="1">
      <c r="A1362" t="s">
        <v>2246</v>
      </c>
      <c r="B1362" t="s">
        <v>16</v>
      </c>
      <c r="C1362" t="s">
        <v>3932</v>
      </c>
      <c r="D1362" t="s">
        <v>3933</v>
      </c>
      <c r="E1362" t="s">
        <v>3934</v>
      </c>
      <c r="F1362" t="s">
        <v>3935</v>
      </c>
      <c r="G1362" t="s">
        <v>3936</v>
      </c>
      <c r="H1362" t="s">
        <v>28</v>
      </c>
      <c r="I1362" t="s">
        <v>905</v>
      </c>
    </row>
    <row r="1363" spans="1:9" ht="11.25" customHeight="1">
      <c r="A1363" t="s">
        <v>2246</v>
      </c>
      <c r="B1363" t="s">
        <v>16</v>
      </c>
      <c r="C1363" t="s">
        <v>4612</v>
      </c>
      <c r="D1363" t="s">
        <v>4613</v>
      </c>
      <c r="E1363" t="s">
        <v>4614</v>
      </c>
      <c r="F1363" t="s">
        <v>2343</v>
      </c>
      <c r="G1363" t="s">
        <v>28</v>
      </c>
      <c r="H1363" t="s">
        <v>28</v>
      </c>
      <c r="I1363" t="s">
        <v>905</v>
      </c>
    </row>
    <row r="1364" spans="1:9" ht="11.25" customHeight="1">
      <c r="A1364" t="s">
        <v>2246</v>
      </c>
      <c r="B1364" t="s">
        <v>16</v>
      </c>
      <c r="C1364" t="s">
        <v>3948</v>
      </c>
      <c r="D1364" t="s">
        <v>3949</v>
      </c>
      <c r="E1364" t="s">
        <v>3950</v>
      </c>
      <c r="F1364" t="s">
        <v>2303</v>
      </c>
      <c r="G1364" t="s">
        <v>28</v>
      </c>
      <c r="H1364" t="s">
        <v>28</v>
      </c>
      <c r="I1364" t="s">
        <v>905</v>
      </c>
    </row>
    <row r="1365" spans="1:9" ht="11.25" customHeight="1">
      <c r="A1365" t="s">
        <v>2246</v>
      </c>
      <c r="B1365" t="s">
        <v>16</v>
      </c>
      <c r="C1365" t="s">
        <v>3985</v>
      </c>
      <c r="D1365" t="s">
        <v>3986</v>
      </c>
      <c r="E1365" t="s">
        <v>3987</v>
      </c>
      <c r="F1365" t="s">
        <v>2313</v>
      </c>
      <c r="G1365" t="s">
        <v>28</v>
      </c>
      <c r="H1365" t="s">
        <v>28</v>
      </c>
      <c r="I1365" t="s">
        <v>905</v>
      </c>
    </row>
    <row r="1366" spans="1:9" ht="11.25" customHeight="1">
      <c r="A1366" t="s">
        <v>2246</v>
      </c>
      <c r="B1366" t="s">
        <v>16</v>
      </c>
      <c r="C1366" t="s">
        <v>3991</v>
      </c>
      <c r="D1366" t="s">
        <v>3992</v>
      </c>
      <c r="E1366" t="s">
        <v>3993</v>
      </c>
      <c r="F1366" t="s">
        <v>2286</v>
      </c>
      <c r="G1366" t="s">
        <v>3994</v>
      </c>
      <c r="H1366" t="s">
        <v>28</v>
      </c>
      <c r="I1366" t="s">
        <v>905</v>
      </c>
    </row>
    <row r="1367" spans="1:9" ht="11.25" customHeight="1">
      <c r="A1367" t="s">
        <v>2246</v>
      </c>
      <c r="B1367" t="s">
        <v>16</v>
      </c>
      <c r="C1367" t="s">
        <v>4488</v>
      </c>
      <c r="D1367" t="s">
        <v>4489</v>
      </c>
      <c r="E1367" t="s">
        <v>4490</v>
      </c>
      <c r="F1367" t="s">
        <v>2560</v>
      </c>
      <c r="G1367" t="s">
        <v>28</v>
      </c>
      <c r="H1367" t="s">
        <v>28</v>
      </c>
      <c r="I1367" t="s">
        <v>905</v>
      </c>
    </row>
    <row r="1368" spans="1:9" ht="11.25" customHeight="1">
      <c r="A1368" t="s">
        <v>2246</v>
      </c>
      <c r="B1368" t="s">
        <v>16</v>
      </c>
      <c r="C1368" t="s">
        <v>4011</v>
      </c>
      <c r="D1368" t="s">
        <v>4012</v>
      </c>
      <c r="E1368" t="s">
        <v>2543</v>
      </c>
      <c r="F1368" t="s">
        <v>4013</v>
      </c>
      <c r="G1368" t="s">
        <v>28</v>
      </c>
      <c r="H1368" t="s">
        <v>28</v>
      </c>
      <c r="I1368" t="s">
        <v>905</v>
      </c>
    </row>
    <row r="1369" spans="1:9" ht="11.25" customHeight="1">
      <c r="A1369" t="s">
        <v>2246</v>
      </c>
      <c r="B1369" t="s">
        <v>16</v>
      </c>
      <c r="C1369" t="s">
        <v>4023</v>
      </c>
      <c r="D1369" t="s">
        <v>4024</v>
      </c>
      <c r="E1369" t="s">
        <v>4025</v>
      </c>
      <c r="F1369" t="s">
        <v>2360</v>
      </c>
      <c r="G1369" t="s">
        <v>3656</v>
      </c>
      <c r="H1369" t="s">
        <v>28</v>
      </c>
      <c r="I1369" t="s">
        <v>905</v>
      </c>
    </row>
    <row r="1370" spans="1:9" ht="11.25" customHeight="1">
      <c r="A1370" t="s">
        <v>2246</v>
      </c>
      <c r="B1370" t="s">
        <v>16</v>
      </c>
      <c r="C1370" t="s">
        <v>4038</v>
      </c>
      <c r="D1370" t="s">
        <v>4039</v>
      </c>
      <c r="E1370" t="s">
        <v>4040</v>
      </c>
      <c r="F1370" t="s">
        <v>2268</v>
      </c>
      <c r="G1370" t="s">
        <v>28</v>
      </c>
      <c r="H1370" t="s">
        <v>28</v>
      </c>
      <c r="I1370" t="s">
        <v>905</v>
      </c>
    </row>
    <row r="1371" spans="1:9" ht="11.25" customHeight="1">
      <c r="A1371" t="s">
        <v>2246</v>
      </c>
      <c r="B1371" t="s">
        <v>16</v>
      </c>
      <c r="C1371" t="s">
        <v>4044</v>
      </c>
      <c r="D1371" t="s">
        <v>4045</v>
      </c>
      <c r="E1371" t="s">
        <v>4046</v>
      </c>
      <c r="F1371" t="s">
        <v>4047</v>
      </c>
      <c r="G1371" t="s">
        <v>28</v>
      </c>
      <c r="H1371" t="s">
        <v>28</v>
      </c>
      <c r="I1371" t="s">
        <v>905</v>
      </c>
    </row>
    <row r="1372" spans="1:9" ht="11.25" customHeight="1">
      <c r="A1372" t="s">
        <v>2246</v>
      </c>
      <c r="B1372" t="s">
        <v>16</v>
      </c>
      <c r="C1372" t="s">
        <v>4048</v>
      </c>
      <c r="D1372" t="s">
        <v>4049</v>
      </c>
      <c r="E1372" t="s">
        <v>4050</v>
      </c>
      <c r="F1372" t="s">
        <v>2574</v>
      </c>
      <c r="G1372" t="s">
        <v>3656</v>
      </c>
      <c r="H1372" t="s">
        <v>28</v>
      </c>
      <c r="I1372" t="s">
        <v>905</v>
      </c>
    </row>
    <row r="1373" spans="1:9" ht="11.25" customHeight="1">
      <c r="A1373" t="s">
        <v>2246</v>
      </c>
      <c r="B1373" t="s">
        <v>16</v>
      </c>
      <c r="C1373" t="s">
        <v>4051</v>
      </c>
      <c r="D1373" t="s">
        <v>4052</v>
      </c>
      <c r="E1373" t="s">
        <v>4053</v>
      </c>
      <c r="F1373" t="s">
        <v>2370</v>
      </c>
      <c r="G1373" t="s">
        <v>28</v>
      </c>
      <c r="H1373" t="s">
        <v>28</v>
      </c>
      <c r="I1373" t="s">
        <v>905</v>
      </c>
    </row>
    <row r="1374" spans="1:9" ht="11.25" customHeight="1">
      <c r="A1374" t="s">
        <v>2246</v>
      </c>
      <c r="B1374" t="s">
        <v>16</v>
      </c>
      <c r="C1374" t="s">
        <v>4494</v>
      </c>
      <c r="D1374" t="s">
        <v>4495</v>
      </c>
      <c r="E1374" t="s">
        <v>4496</v>
      </c>
      <c r="F1374" t="s">
        <v>2268</v>
      </c>
      <c r="G1374" t="s">
        <v>4497</v>
      </c>
      <c r="H1374" t="s">
        <v>28</v>
      </c>
      <c r="I1374" t="s">
        <v>905</v>
      </c>
    </row>
    <row r="1375" spans="1:9" ht="11.25" customHeight="1">
      <c r="A1375" t="s">
        <v>2246</v>
      </c>
      <c r="B1375" t="s">
        <v>16</v>
      </c>
      <c r="C1375" t="s">
        <v>4064</v>
      </c>
      <c r="D1375" t="s">
        <v>4065</v>
      </c>
      <c r="E1375" t="s">
        <v>4066</v>
      </c>
      <c r="F1375" t="s">
        <v>2370</v>
      </c>
      <c r="G1375" t="s">
        <v>28</v>
      </c>
      <c r="H1375" t="s">
        <v>28</v>
      </c>
      <c r="I1375" t="s">
        <v>905</v>
      </c>
    </row>
    <row r="1376" spans="1:9" ht="11.25" customHeight="1">
      <c r="A1376" t="s">
        <v>2246</v>
      </c>
      <c r="B1376" t="s">
        <v>16</v>
      </c>
      <c r="C1376" t="s">
        <v>4067</v>
      </c>
      <c r="D1376" t="s">
        <v>4068</v>
      </c>
      <c r="E1376" t="s">
        <v>4069</v>
      </c>
      <c r="F1376" t="s">
        <v>2313</v>
      </c>
      <c r="G1376" t="s">
        <v>4070</v>
      </c>
      <c r="H1376" t="s">
        <v>28</v>
      </c>
      <c r="I1376" t="s">
        <v>905</v>
      </c>
    </row>
    <row r="1377" spans="1:9" ht="11.25" customHeight="1">
      <c r="A1377" t="s">
        <v>2246</v>
      </c>
      <c r="B1377" t="s">
        <v>16</v>
      </c>
      <c r="C1377" t="s">
        <v>4071</v>
      </c>
      <c r="D1377" t="s">
        <v>4072</v>
      </c>
      <c r="E1377" t="s">
        <v>4073</v>
      </c>
      <c r="F1377" t="s">
        <v>2343</v>
      </c>
      <c r="G1377" t="s">
        <v>4074</v>
      </c>
      <c r="H1377" t="s">
        <v>28</v>
      </c>
      <c r="I1377" t="s">
        <v>905</v>
      </c>
    </row>
    <row r="1378" spans="1:9" ht="11.25" customHeight="1">
      <c r="A1378" t="s">
        <v>2246</v>
      </c>
      <c r="B1378" t="s">
        <v>16</v>
      </c>
      <c r="C1378" t="s">
        <v>4075</v>
      </c>
      <c r="D1378" t="s">
        <v>4076</v>
      </c>
      <c r="E1378" t="s">
        <v>4077</v>
      </c>
      <c r="F1378" t="s">
        <v>3188</v>
      </c>
      <c r="G1378" t="s">
        <v>4078</v>
      </c>
      <c r="H1378" t="s">
        <v>28</v>
      </c>
      <c r="I1378" t="s">
        <v>905</v>
      </c>
    </row>
    <row r="1379" spans="1:9" ht="11.25" customHeight="1">
      <c r="A1379" t="s">
        <v>2246</v>
      </c>
      <c r="B1379" t="s">
        <v>16</v>
      </c>
      <c r="C1379" t="s">
        <v>4084</v>
      </c>
      <c r="D1379" t="s">
        <v>4085</v>
      </c>
      <c r="E1379" t="s">
        <v>4086</v>
      </c>
      <c r="F1379" t="s">
        <v>2295</v>
      </c>
      <c r="G1379" t="s">
        <v>4087</v>
      </c>
      <c r="H1379" t="s">
        <v>28</v>
      </c>
      <c r="I1379" t="s">
        <v>905</v>
      </c>
    </row>
    <row r="1380" spans="1:9" ht="11.25" customHeight="1">
      <c r="A1380" t="s">
        <v>2246</v>
      </c>
      <c r="B1380" t="s">
        <v>16</v>
      </c>
      <c r="C1380" t="s">
        <v>4088</v>
      </c>
      <c r="D1380" t="s">
        <v>4089</v>
      </c>
      <c r="E1380" t="s">
        <v>4090</v>
      </c>
      <c r="F1380" t="s">
        <v>2332</v>
      </c>
      <c r="G1380" t="s">
        <v>28</v>
      </c>
      <c r="H1380" t="s">
        <v>28</v>
      </c>
      <c r="I1380" t="s">
        <v>905</v>
      </c>
    </row>
    <row r="1381" spans="1:9" ht="11.25" customHeight="1">
      <c r="A1381" t="s">
        <v>2246</v>
      </c>
      <c r="B1381" t="s">
        <v>16</v>
      </c>
      <c r="C1381" t="s">
        <v>4097</v>
      </c>
      <c r="D1381" t="s">
        <v>4098</v>
      </c>
      <c r="E1381" t="s">
        <v>4099</v>
      </c>
      <c r="F1381" t="s">
        <v>2536</v>
      </c>
      <c r="G1381" t="s">
        <v>28</v>
      </c>
      <c r="H1381" t="s">
        <v>28</v>
      </c>
      <c r="I1381" t="s">
        <v>905</v>
      </c>
    </row>
    <row r="1382" spans="1:9" ht="11.25" customHeight="1">
      <c r="A1382" t="s">
        <v>2246</v>
      </c>
      <c r="B1382" t="s">
        <v>16</v>
      </c>
      <c r="C1382" t="s">
        <v>28</v>
      </c>
      <c r="D1382" t="s">
        <v>4100</v>
      </c>
      <c r="E1382" t="s">
        <v>4101</v>
      </c>
      <c r="F1382" t="s">
        <v>2384</v>
      </c>
      <c r="G1382" t="s">
        <v>28</v>
      </c>
      <c r="H1382" t="s">
        <v>28</v>
      </c>
      <c r="I1382" t="s">
        <v>905</v>
      </c>
    </row>
    <row r="1383" spans="1:9" ht="11.25" customHeight="1">
      <c r="A1383" t="s">
        <v>2246</v>
      </c>
      <c r="B1383" t="s">
        <v>16</v>
      </c>
      <c r="C1383" t="s">
        <v>4527</v>
      </c>
      <c r="D1383" t="s">
        <v>4528</v>
      </c>
      <c r="E1383" t="s">
        <v>4529</v>
      </c>
      <c r="F1383" t="s">
        <v>2268</v>
      </c>
      <c r="G1383" t="s">
        <v>4530</v>
      </c>
      <c r="H1383" t="s">
        <v>28</v>
      </c>
      <c r="I1383" t="s">
        <v>905</v>
      </c>
    </row>
    <row r="1384" spans="1:9" ht="11.25" customHeight="1">
      <c r="A1384" t="s">
        <v>2246</v>
      </c>
      <c r="B1384" t="s">
        <v>16</v>
      </c>
      <c r="C1384" t="s">
        <v>4124</v>
      </c>
      <c r="D1384" t="s">
        <v>4125</v>
      </c>
      <c r="E1384" t="s">
        <v>4126</v>
      </c>
      <c r="F1384" t="s">
        <v>2250</v>
      </c>
      <c r="G1384" t="s">
        <v>4127</v>
      </c>
      <c r="H1384" t="s">
        <v>28</v>
      </c>
      <c r="I1384" t="s">
        <v>905</v>
      </c>
    </row>
    <row r="1385" spans="1:9" ht="11.25" customHeight="1">
      <c r="A1385" t="s">
        <v>2246</v>
      </c>
      <c r="B1385" t="s">
        <v>16</v>
      </c>
      <c r="C1385" t="s">
        <v>4128</v>
      </c>
      <c r="D1385" t="s">
        <v>4129</v>
      </c>
      <c r="E1385" t="s">
        <v>4130</v>
      </c>
      <c r="F1385" t="s">
        <v>4131</v>
      </c>
      <c r="G1385" t="s">
        <v>28</v>
      </c>
      <c r="H1385" t="s">
        <v>28</v>
      </c>
      <c r="I1385" t="s">
        <v>905</v>
      </c>
    </row>
    <row r="1386" spans="1:9" ht="11.25" customHeight="1">
      <c r="A1386" t="s">
        <v>2246</v>
      </c>
      <c r="B1386" t="s">
        <v>16</v>
      </c>
      <c r="C1386" t="s">
        <v>4163</v>
      </c>
      <c r="D1386" t="s">
        <v>4164</v>
      </c>
      <c r="E1386" t="s">
        <v>4165</v>
      </c>
      <c r="F1386" t="s">
        <v>2360</v>
      </c>
      <c r="G1386" t="s">
        <v>4166</v>
      </c>
      <c r="H1386" t="s">
        <v>28</v>
      </c>
      <c r="I1386" t="s">
        <v>905</v>
      </c>
    </row>
    <row r="1387" spans="1:9" ht="11.25" customHeight="1">
      <c r="A1387" t="s">
        <v>2246</v>
      </c>
      <c r="B1387" t="s">
        <v>16</v>
      </c>
      <c r="C1387" t="s">
        <v>4167</v>
      </c>
      <c r="D1387" t="s">
        <v>4168</v>
      </c>
      <c r="E1387" t="s">
        <v>4169</v>
      </c>
      <c r="F1387" t="s">
        <v>2574</v>
      </c>
      <c r="G1387" t="s">
        <v>28</v>
      </c>
      <c r="H1387" t="s">
        <v>28</v>
      </c>
      <c r="I1387" t="s">
        <v>905</v>
      </c>
    </row>
    <row r="1388" spans="1:9" ht="11.25" customHeight="1">
      <c r="A1388" t="s">
        <v>2246</v>
      </c>
      <c r="B1388" t="s">
        <v>16</v>
      </c>
      <c r="C1388" t="s">
        <v>4531</v>
      </c>
      <c r="D1388" t="s">
        <v>4532</v>
      </c>
      <c r="E1388" t="s">
        <v>4533</v>
      </c>
      <c r="F1388" t="s">
        <v>2290</v>
      </c>
      <c r="G1388" t="s">
        <v>28</v>
      </c>
      <c r="H1388" t="s">
        <v>28</v>
      </c>
      <c r="I1388" t="s">
        <v>905</v>
      </c>
    </row>
    <row r="1389" spans="1:9" ht="11.25" customHeight="1">
      <c r="A1389" t="s">
        <v>2246</v>
      </c>
      <c r="B1389" t="s">
        <v>16</v>
      </c>
      <c r="C1389" t="s">
        <v>4615</v>
      </c>
      <c r="D1389" t="s">
        <v>4616</v>
      </c>
      <c r="E1389" t="s">
        <v>4617</v>
      </c>
      <c r="F1389" t="s">
        <v>2574</v>
      </c>
      <c r="G1389" t="s">
        <v>28</v>
      </c>
      <c r="H1389" t="s">
        <v>28</v>
      </c>
      <c r="I1389" t="s">
        <v>905</v>
      </c>
    </row>
    <row r="1390" spans="1:9" ht="11.25" customHeight="1">
      <c r="A1390" t="s">
        <v>2246</v>
      </c>
      <c r="B1390" t="s">
        <v>16</v>
      </c>
      <c r="C1390" t="s">
        <v>4176</v>
      </c>
      <c r="D1390" t="s">
        <v>4177</v>
      </c>
      <c r="E1390" t="s">
        <v>4178</v>
      </c>
      <c r="F1390" t="s">
        <v>3188</v>
      </c>
      <c r="G1390" t="s">
        <v>28</v>
      </c>
      <c r="H1390" t="s">
        <v>28</v>
      </c>
      <c r="I1390" t="s">
        <v>905</v>
      </c>
    </row>
    <row r="1391" spans="1:9" ht="11.25" customHeight="1">
      <c r="A1391" t="s">
        <v>2246</v>
      </c>
      <c r="B1391" t="s">
        <v>16</v>
      </c>
      <c r="C1391" t="s">
        <v>4179</v>
      </c>
      <c r="D1391" t="s">
        <v>4180</v>
      </c>
      <c r="E1391" t="s">
        <v>4081</v>
      </c>
      <c r="F1391" t="s">
        <v>4181</v>
      </c>
      <c r="G1391" t="s">
        <v>4182</v>
      </c>
      <c r="H1391" t="s">
        <v>28</v>
      </c>
      <c r="I1391" t="s">
        <v>905</v>
      </c>
    </row>
    <row r="1392" spans="1:9" ht="11.25" customHeight="1">
      <c r="A1392" t="s">
        <v>2246</v>
      </c>
      <c r="B1392" t="s">
        <v>16</v>
      </c>
      <c r="C1392" t="s">
        <v>4183</v>
      </c>
      <c r="D1392" t="s">
        <v>4184</v>
      </c>
      <c r="E1392" t="s">
        <v>2573</v>
      </c>
      <c r="F1392" t="s">
        <v>4185</v>
      </c>
      <c r="G1392" t="s">
        <v>28</v>
      </c>
      <c r="H1392" t="s">
        <v>28</v>
      </c>
      <c r="I1392" t="s">
        <v>905</v>
      </c>
    </row>
    <row r="1393" spans="1:9" ht="11.25" customHeight="1">
      <c r="A1393" t="s">
        <v>2246</v>
      </c>
      <c r="B1393" t="s">
        <v>16</v>
      </c>
      <c r="C1393" t="s">
        <v>4186</v>
      </c>
      <c r="D1393" t="s">
        <v>4187</v>
      </c>
      <c r="E1393" t="s">
        <v>2573</v>
      </c>
      <c r="F1393" t="s">
        <v>2668</v>
      </c>
      <c r="G1393" t="s">
        <v>4188</v>
      </c>
      <c r="H1393" t="s">
        <v>28</v>
      </c>
      <c r="I1393" t="s">
        <v>905</v>
      </c>
    </row>
    <row r="1394" spans="1:9" ht="11.25" customHeight="1">
      <c r="A1394" t="s">
        <v>2246</v>
      </c>
      <c r="B1394" t="s">
        <v>16</v>
      </c>
      <c r="C1394" t="s">
        <v>4192</v>
      </c>
      <c r="D1394" t="s">
        <v>4193</v>
      </c>
      <c r="E1394" t="s">
        <v>4194</v>
      </c>
      <c r="F1394" t="s">
        <v>4195</v>
      </c>
      <c r="G1394" t="s">
        <v>4196</v>
      </c>
      <c r="H1394" t="s">
        <v>28</v>
      </c>
      <c r="I1394" t="s">
        <v>905</v>
      </c>
    </row>
    <row r="1395" spans="1:9" ht="11.25" customHeight="1">
      <c r="A1395" t="s">
        <v>2246</v>
      </c>
      <c r="B1395" t="s">
        <v>16</v>
      </c>
      <c r="C1395" t="s">
        <v>4197</v>
      </c>
      <c r="D1395" t="s">
        <v>4198</v>
      </c>
      <c r="E1395" t="s">
        <v>4199</v>
      </c>
      <c r="F1395" t="s">
        <v>4200</v>
      </c>
      <c r="G1395" t="s">
        <v>28</v>
      </c>
      <c r="H1395" t="s">
        <v>28</v>
      </c>
      <c r="I1395" t="s">
        <v>905</v>
      </c>
    </row>
    <row r="1396" spans="1:9" ht="11.25" customHeight="1">
      <c r="A1396" t="s">
        <v>2246</v>
      </c>
      <c r="B1396" t="s">
        <v>16</v>
      </c>
      <c r="C1396" t="s">
        <v>4618</v>
      </c>
      <c r="D1396" t="s">
        <v>4619</v>
      </c>
      <c r="E1396" t="s">
        <v>4620</v>
      </c>
      <c r="F1396" t="s">
        <v>4621</v>
      </c>
      <c r="G1396" t="s">
        <v>28</v>
      </c>
      <c r="H1396" t="s">
        <v>28</v>
      </c>
      <c r="I1396" t="s">
        <v>905</v>
      </c>
    </row>
    <row r="1397" spans="1:9" ht="11.25" customHeight="1">
      <c r="A1397" t="s">
        <v>2246</v>
      </c>
      <c r="B1397" t="s">
        <v>16</v>
      </c>
      <c r="C1397" t="s">
        <v>4622</v>
      </c>
      <c r="D1397" t="s">
        <v>4623</v>
      </c>
      <c r="E1397" t="s">
        <v>4624</v>
      </c>
      <c r="F1397" t="s">
        <v>2303</v>
      </c>
      <c r="G1397" t="s">
        <v>28</v>
      </c>
      <c r="H1397" t="s">
        <v>28</v>
      </c>
      <c r="I1397" t="s">
        <v>1619</v>
      </c>
    </row>
    <row r="1398" spans="1:9" ht="11.25" customHeight="1">
      <c r="A1398" t="s">
        <v>2246</v>
      </c>
      <c r="B1398" t="s">
        <v>16</v>
      </c>
      <c r="C1398" t="s">
        <v>4625</v>
      </c>
      <c r="D1398" t="s">
        <v>4626</v>
      </c>
      <c r="E1398" t="s">
        <v>4627</v>
      </c>
      <c r="F1398" t="s">
        <v>2574</v>
      </c>
      <c r="G1398" t="s">
        <v>28</v>
      </c>
      <c r="H1398" t="s">
        <v>28</v>
      </c>
      <c r="I1398" t="s">
        <v>1619</v>
      </c>
    </row>
    <row r="1399" spans="1:9" ht="11.25" customHeight="1">
      <c r="A1399" t="s">
        <v>2246</v>
      </c>
      <c r="B1399" t="s">
        <v>16</v>
      </c>
      <c r="C1399" t="s">
        <v>2423</v>
      </c>
      <c r="D1399" t="s">
        <v>2424</v>
      </c>
      <c r="E1399" t="s">
        <v>2425</v>
      </c>
      <c r="F1399" t="s">
        <v>2303</v>
      </c>
      <c r="G1399" t="s">
        <v>2426</v>
      </c>
      <c r="H1399" t="s">
        <v>28</v>
      </c>
      <c r="I1399" t="s">
        <v>1619</v>
      </c>
    </row>
    <row r="1400" spans="1:9" ht="11.25" customHeight="1">
      <c r="A1400" t="s">
        <v>2246</v>
      </c>
      <c r="B1400" t="s">
        <v>16</v>
      </c>
      <c r="C1400" t="s">
        <v>2644</v>
      </c>
      <c r="D1400" t="s">
        <v>2645</v>
      </c>
      <c r="E1400" t="s">
        <v>2646</v>
      </c>
      <c r="F1400" t="s">
        <v>2295</v>
      </c>
      <c r="G1400" t="s">
        <v>2647</v>
      </c>
      <c r="H1400" t="s">
        <v>28</v>
      </c>
      <c r="I1400" t="s">
        <v>1619</v>
      </c>
    </row>
    <row r="1401" spans="1:9" ht="11.25" customHeight="1">
      <c r="A1401" t="s">
        <v>2246</v>
      </c>
      <c r="B1401" t="s">
        <v>16</v>
      </c>
      <c r="C1401" t="s">
        <v>4628</v>
      </c>
      <c r="D1401" t="s">
        <v>4629</v>
      </c>
      <c r="E1401" t="s">
        <v>4630</v>
      </c>
      <c r="F1401" t="s">
        <v>574</v>
      </c>
      <c r="G1401" t="s">
        <v>28</v>
      </c>
      <c r="H1401" t="s">
        <v>28</v>
      </c>
      <c r="I1401" t="s">
        <v>1619</v>
      </c>
    </row>
    <row r="1402" spans="1:9" ht="11.25" customHeight="1">
      <c r="A1402" t="s">
        <v>2246</v>
      </c>
      <c r="B1402" t="s">
        <v>16</v>
      </c>
      <c r="C1402" t="s">
        <v>2820</v>
      </c>
      <c r="D1402" t="s">
        <v>2821</v>
      </c>
      <c r="E1402" t="s">
        <v>2822</v>
      </c>
      <c r="F1402" t="s">
        <v>2400</v>
      </c>
      <c r="G1402" t="s">
        <v>28</v>
      </c>
      <c r="H1402" t="s">
        <v>28</v>
      </c>
      <c r="I1402" t="s">
        <v>1619</v>
      </c>
    </row>
    <row r="1403" spans="1:9" ht="11.25" customHeight="1">
      <c r="A1403" t="s">
        <v>2246</v>
      </c>
      <c r="B1403" t="s">
        <v>16</v>
      </c>
      <c r="C1403" t="s">
        <v>4631</v>
      </c>
      <c r="D1403" t="s">
        <v>4632</v>
      </c>
      <c r="E1403" t="s">
        <v>4633</v>
      </c>
      <c r="F1403" t="s">
        <v>2268</v>
      </c>
      <c r="G1403" t="s">
        <v>28</v>
      </c>
      <c r="H1403" t="s">
        <v>28</v>
      </c>
      <c r="I1403" t="s">
        <v>1619</v>
      </c>
    </row>
    <row r="1404" spans="1:9" ht="11.25" customHeight="1">
      <c r="A1404" t="s">
        <v>2246</v>
      </c>
      <c r="B1404" t="s">
        <v>16</v>
      </c>
      <c r="C1404" t="s">
        <v>2832</v>
      </c>
      <c r="D1404" t="s">
        <v>2833</v>
      </c>
      <c r="E1404" t="s">
        <v>2834</v>
      </c>
      <c r="F1404" t="s">
        <v>2268</v>
      </c>
      <c r="G1404" t="s">
        <v>28</v>
      </c>
      <c r="H1404" t="s">
        <v>28</v>
      </c>
      <c r="I1404" t="s">
        <v>1619</v>
      </c>
    </row>
    <row r="1405" spans="1:9" ht="11.25" customHeight="1">
      <c r="A1405" t="s">
        <v>2246</v>
      </c>
      <c r="B1405" t="s">
        <v>16</v>
      </c>
      <c r="C1405" t="s">
        <v>2877</v>
      </c>
      <c r="D1405" t="s">
        <v>2878</v>
      </c>
      <c r="E1405" t="s">
        <v>2879</v>
      </c>
      <c r="F1405" t="s">
        <v>2400</v>
      </c>
      <c r="G1405" t="s">
        <v>2880</v>
      </c>
      <c r="H1405" t="s">
        <v>28</v>
      </c>
      <c r="I1405" t="s">
        <v>1619</v>
      </c>
    </row>
    <row r="1406" spans="1:9" ht="11.25" customHeight="1">
      <c r="A1406" t="s">
        <v>2246</v>
      </c>
      <c r="B1406" t="s">
        <v>16</v>
      </c>
      <c r="C1406" t="s">
        <v>4634</v>
      </c>
      <c r="D1406" t="s">
        <v>4635</v>
      </c>
      <c r="E1406" t="s">
        <v>4636</v>
      </c>
      <c r="F1406" t="s">
        <v>2360</v>
      </c>
      <c r="G1406" t="s">
        <v>4637</v>
      </c>
      <c r="H1406" t="s">
        <v>28</v>
      </c>
      <c r="I1406" t="s">
        <v>1619</v>
      </c>
    </row>
    <row r="1407" spans="1:9" ht="11.25" customHeight="1">
      <c r="A1407" t="s">
        <v>2246</v>
      </c>
      <c r="B1407" t="s">
        <v>16</v>
      </c>
      <c r="C1407" t="s">
        <v>4638</v>
      </c>
      <c r="D1407" t="s">
        <v>4639</v>
      </c>
      <c r="E1407" t="s">
        <v>4640</v>
      </c>
      <c r="F1407" t="s">
        <v>2352</v>
      </c>
      <c r="G1407" t="s">
        <v>4641</v>
      </c>
      <c r="H1407" t="s">
        <v>28</v>
      </c>
      <c r="I1407" t="s">
        <v>1619</v>
      </c>
    </row>
    <row r="1408" spans="1:9" ht="11.25" customHeight="1">
      <c r="A1408" t="s">
        <v>2246</v>
      </c>
      <c r="B1408" t="s">
        <v>16</v>
      </c>
      <c r="C1408" t="s">
        <v>4642</v>
      </c>
      <c r="D1408" t="s">
        <v>4643</v>
      </c>
      <c r="E1408" t="s">
        <v>4644</v>
      </c>
      <c r="F1408" t="s">
        <v>2400</v>
      </c>
      <c r="G1408" t="s">
        <v>28</v>
      </c>
      <c r="H1408" t="s">
        <v>28</v>
      </c>
      <c r="I1408" t="s">
        <v>1619</v>
      </c>
    </row>
    <row r="1409" spans="1:9" ht="11.25" customHeight="1">
      <c r="A1409" t="s">
        <v>2246</v>
      </c>
      <c r="B1409" t="s">
        <v>16</v>
      </c>
      <c r="C1409" t="s">
        <v>2915</v>
      </c>
      <c r="D1409" t="s">
        <v>2916</v>
      </c>
      <c r="E1409" t="s">
        <v>2917</v>
      </c>
      <c r="F1409" t="s">
        <v>2687</v>
      </c>
      <c r="G1409" t="s">
        <v>2918</v>
      </c>
      <c r="H1409" t="s">
        <v>28</v>
      </c>
      <c r="I1409" t="s">
        <v>1619</v>
      </c>
    </row>
    <row r="1410" spans="1:9" ht="11.25" customHeight="1">
      <c r="A1410" t="s">
        <v>2246</v>
      </c>
      <c r="B1410" t="s">
        <v>16</v>
      </c>
      <c r="C1410" t="s">
        <v>2919</v>
      </c>
      <c r="D1410" t="s">
        <v>2920</v>
      </c>
      <c r="E1410" t="s">
        <v>2921</v>
      </c>
      <c r="F1410" t="s">
        <v>2687</v>
      </c>
      <c r="G1410" t="s">
        <v>2922</v>
      </c>
      <c r="H1410" t="s">
        <v>28</v>
      </c>
      <c r="I1410" t="s">
        <v>1619</v>
      </c>
    </row>
    <row r="1411" spans="1:9" ht="11.25" customHeight="1">
      <c r="A1411" t="s">
        <v>2246</v>
      </c>
      <c r="B1411" t="s">
        <v>16</v>
      </c>
      <c r="C1411" t="s">
        <v>2927</v>
      </c>
      <c r="D1411" t="s">
        <v>2928</v>
      </c>
      <c r="E1411" t="s">
        <v>2929</v>
      </c>
      <c r="F1411" t="s">
        <v>2687</v>
      </c>
      <c r="G1411" t="s">
        <v>28</v>
      </c>
      <c r="H1411" t="s">
        <v>28</v>
      </c>
      <c r="I1411" t="s">
        <v>1619</v>
      </c>
    </row>
    <row r="1412" spans="1:9" ht="11.25" customHeight="1">
      <c r="A1412" t="s">
        <v>2246</v>
      </c>
      <c r="B1412" t="s">
        <v>16</v>
      </c>
      <c r="C1412" t="s">
        <v>4645</v>
      </c>
      <c r="D1412" t="s">
        <v>4646</v>
      </c>
      <c r="E1412" t="s">
        <v>4647</v>
      </c>
      <c r="F1412" t="s">
        <v>2264</v>
      </c>
      <c r="G1412" t="s">
        <v>28</v>
      </c>
      <c r="H1412" t="s">
        <v>28</v>
      </c>
      <c r="I1412" t="s">
        <v>1619</v>
      </c>
    </row>
    <row r="1413" spans="1:9" ht="11.25" customHeight="1">
      <c r="A1413" t="s">
        <v>2246</v>
      </c>
      <c r="B1413" t="s">
        <v>16</v>
      </c>
      <c r="C1413" t="s">
        <v>4648</v>
      </c>
      <c r="D1413" t="s">
        <v>4649</v>
      </c>
      <c r="E1413" t="s">
        <v>4650</v>
      </c>
      <c r="F1413" t="s">
        <v>4651</v>
      </c>
      <c r="G1413" t="s">
        <v>28</v>
      </c>
      <c r="H1413" t="s">
        <v>28</v>
      </c>
      <c r="I1413" t="s">
        <v>1619</v>
      </c>
    </row>
    <row r="1414" spans="1:9" ht="11.25" customHeight="1">
      <c r="A1414" t="s">
        <v>2246</v>
      </c>
      <c r="B1414" t="s">
        <v>16</v>
      </c>
      <c r="C1414" t="s">
        <v>4358</v>
      </c>
      <c r="D1414" t="s">
        <v>4359</v>
      </c>
      <c r="E1414" t="s">
        <v>4360</v>
      </c>
      <c r="F1414" t="s">
        <v>2352</v>
      </c>
      <c r="G1414" t="s">
        <v>4361</v>
      </c>
      <c r="H1414" t="s">
        <v>28</v>
      </c>
      <c r="I1414" t="s">
        <v>1619</v>
      </c>
    </row>
    <row r="1415" spans="1:9" ht="11.25" customHeight="1">
      <c r="A1415" t="s">
        <v>2246</v>
      </c>
      <c r="B1415" t="s">
        <v>16</v>
      </c>
      <c r="C1415" t="s">
        <v>2960</v>
      </c>
      <c r="D1415" t="s">
        <v>2961</v>
      </c>
      <c r="E1415" t="s">
        <v>2962</v>
      </c>
      <c r="F1415" t="s">
        <v>2295</v>
      </c>
      <c r="G1415" t="s">
        <v>2963</v>
      </c>
      <c r="H1415" t="s">
        <v>28</v>
      </c>
      <c r="I1415" t="s">
        <v>1619</v>
      </c>
    </row>
    <row r="1416" spans="1:9" ht="11.25" customHeight="1">
      <c r="A1416" t="s">
        <v>2246</v>
      </c>
      <c r="B1416" t="s">
        <v>16</v>
      </c>
      <c r="C1416" t="s">
        <v>2986</v>
      </c>
      <c r="D1416" t="s">
        <v>2987</v>
      </c>
      <c r="E1416" t="s">
        <v>2988</v>
      </c>
      <c r="F1416" t="s">
        <v>2989</v>
      </c>
      <c r="G1416" t="s">
        <v>2990</v>
      </c>
      <c r="H1416" t="s">
        <v>28</v>
      </c>
      <c r="I1416" t="s">
        <v>1619</v>
      </c>
    </row>
    <row r="1417" spans="1:9" ht="11.25" customHeight="1">
      <c r="A1417" t="s">
        <v>2246</v>
      </c>
      <c r="B1417" t="s">
        <v>16</v>
      </c>
      <c r="C1417" t="s">
        <v>4652</v>
      </c>
      <c r="D1417" t="s">
        <v>4653</v>
      </c>
      <c r="E1417" t="s">
        <v>4654</v>
      </c>
      <c r="F1417" t="s">
        <v>4655</v>
      </c>
      <c r="G1417" t="s">
        <v>28</v>
      </c>
      <c r="H1417" t="s">
        <v>28</v>
      </c>
      <c r="I1417" t="s">
        <v>1619</v>
      </c>
    </row>
    <row r="1418" spans="1:9" ht="11.25" customHeight="1">
      <c r="A1418" t="s">
        <v>2246</v>
      </c>
      <c r="B1418" t="s">
        <v>16</v>
      </c>
      <c r="C1418" t="s">
        <v>4656</v>
      </c>
      <c r="D1418" t="s">
        <v>4657</v>
      </c>
      <c r="E1418" t="s">
        <v>4658</v>
      </c>
      <c r="F1418" t="s">
        <v>3698</v>
      </c>
      <c r="G1418" t="s">
        <v>28</v>
      </c>
      <c r="H1418" t="s">
        <v>28</v>
      </c>
      <c r="I1418" t="s">
        <v>1619</v>
      </c>
    </row>
    <row r="1419" spans="1:9" ht="11.25" customHeight="1">
      <c r="A1419" t="s">
        <v>2246</v>
      </c>
      <c r="B1419" t="s">
        <v>16</v>
      </c>
      <c r="C1419" t="s">
        <v>4659</v>
      </c>
      <c r="D1419" t="s">
        <v>4660</v>
      </c>
      <c r="E1419" t="s">
        <v>4661</v>
      </c>
      <c r="F1419" t="s">
        <v>2347</v>
      </c>
      <c r="G1419" t="s">
        <v>28</v>
      </c>
      <c r="H1419" t="s">
        <v>28</v>
      </c>
      <c r="I1419" t="s">
        <v>1619</v>
      </c>
    </row>
    <row r="1420" spans="1:9" ht="11.25" customHeight="1">
      <c r="A1420" t="s">
        <v>2246</v>
      </c>
      <c r="B1420" t="s">
        <v>16</v>
      </c>
      <c r="C1420" t="s">
        <v>3043</v>
      </c>
      <c r="D1420" t="s">
        <v>3044</v>
      </c>
      <c r="E1420" t="s">
        <v>3045</v>
      </c>
      <c r="F1420" t="s">
        <v>2286</v>
      </c>
      <c r="G1420" t="s">
        <v>3046</v>
      </c>
      <c r="H1420" t="s">
        <v>28</v>
      </c>
      <c r="I1420" t="s">
        <v>1619</v>
      </c>
    </row>
    <row r="1421" spans="1:9" ht="11.25" customHeight="1">
      <c r="A1421" t="s">
        <v>2246</v>
      </c>
      <c r="B1421" t="s">
        <v>16</v>
      </c>
      <c r="C1421" t="s">
        <v>3053</v>
      </c>
      <c r="D1421" t="s">
        <v>3054</v>
      </c>
      <c r="E1421" t="s">
        <v>3055</v>
      </c>
      <c r="F1421" t="s">
        <v>2352</v>
      </c>
      <c r="G1421" t="s">
        <v>3056</v>
      </c>
      <c r="H1421" t="s">
        <v>28</v>
      </c>
      <c r="I1421" t="s">
        <v>1619</v>
      </c>
    </row>
    <row r="1422" spans="1:9" ht="11.25" customHeight="1">
      <c r="A1422" t="s">
        <v>2246</v>
      </c>
      <c r="B1422" t="s">
        <v>16</v>
      </c>
      <c r="C1422" t="s">
        <v>3129</v>
      </c>
      <c r="D1422" t="s">
        <v>3130</v>
      </c>
      <c r="E1422" t="s">
        <v>3131</v>
      </c>
      <c r="F1422" t="s">
        <v>2582</v>
      </c>
      <c r="G1422" t="s">
        <v>3132</v>
      </c>
      <c r="H1422" t="s">
        <v>28</v>
      </c>
      <c r="I1422" t="s">
        <v>1619</v>
      </c>
    </row>
    <row r="1423" spans="1:9" ht="11.25" customHeight="1">
      <c r="A1423" t="s">
        <v>2246</v>
      </c>
      <c r="B1423" t="s">
        <v>16</v>
      </c>
      <c r="C1423" t="s">
        <v>3137</v>
      </c>
      <c r="D1423" t="s">
        <v>3138</v>
      </c>
      <c r="E1423" t="s">
        <v>3139</v>
      </c>
      <c r="F1423" t="s">
        <v>2250</v>
      </c>
      <c r="G1423" t="s">
        <v>3140</v>
      </c>
      <c r="H1423" t="s">
        <v>28</v>
      </c>
      <c r="I1423" t="s">
        <v>1619</v>
      </c>
    </row>
    <row r="1424" spans="1:9" ht="11.25" customHeight="1">
      <c r="A1424" t="s">
        <v>2246</v>
      </c>
      <c r="B1424" t="s">
        <v>16</v>
      </c>
      <c r="C1424" t="s">
        <v>3148</v>
      </c>
      <c r="D1424" t="s">
        <v>3149</v>
      </c>
      <c r="E1424" t="s">
        <v>3150</v>
      </c>
      <c r="F1424" t="s">
        <v>2250</v>
      </c>
      <c r="G1424" t="s">
        <v>2269</v>
      </c>
      <c r="H1424" t="s">
        <v>28</v>
      </c>
      <c r="I1424" t="s">
        <v>1619</v>
      </c>
    </row>
    <row r="1425" spans="1:9" ht="11.25" customHeight="1">
      <c r="A1425" t="s">
        <v>2246</v>
      </c>
      <c r="B1425" t="s">
        <v>16</v>
      </c>
      <c r="C1425" t="s">
        <v>3158</v>
      </c>
      <c r="D1425" t="s">
        <v>3159</v>
      </c>
      <c r="E1425" t="s">
        <v>3160</v>
      </c>
      <c r="F1425" t="s">
        <v>2286</v>
      </c>
      <c r="G1425" t="s">
        <v>28</v>
      </c>
      <c r="H1425" t="s">
        <v>28</v>
      </c>
      <c r="I1425" t="s">
        <v>1619</v>
      </c>
    </row>
    <row r="1426" spans="1:9" ht="11.25" customHeight="1">
      <c r="A1426" t="s">
        <v>2246</v>
      </c>
      <c r="B1426" t="s">
        <v>16</v>
      </c>
      <c r="C1426" t="s">
        <v>3161</v>
      </c>
      <c r="D1426" t="s">
        <v>3162</v>
      </c>
      <c r="E1426" t="s">
        <v>3163</v>
      </c>
      <c r="F1426" t="s">
        <v>2582</v>
      </c>
      <c r="G1426" t="s">
        <v>3164</v>
      </c>
      <c r="H1426" t="s">
        <v>28</v>
      </c>
      <c r="I1426" t="s">
        <v>1619</v>
      </c>
    </row>
    <row r="1427" spans="1:9" ht="11.25" customHeight="1">
      <c r="A1427" t="s">
        <v>2246</v>
      </c>
      <c r="B1427" t="s">
        <v>16</v>
      </c>
      <c r="C1427" t="s">
        <v>3165</v>
      </c>
      <c r="D1427" t="s">
        <v>3166</v>
      </c>
      <c r="E1427" t="s">
        <v>3167</v>
      </c>
      <c r="F1427" t="s">
        <v>2582</v>
      </c>
      <c r="G1427" t="s">
        <v>3168</v>
      </c>
      <c r="H1427" t="s">
        <v>28</v>
      </c>
      <c r="I1427" t="s">
        <v>1619</v>
      </c>
    </row>
    <row r="1428" spans="1:9" ht="11.25" customHeight="1">
      <c r="A1428" t="s">
        <v>2246</v>
      </c>
      <c r="B1428" t="s">
        <v>16</v>
      </c>
      <c r="C1428" t="s">
        <v>4662</v>
      </c>
      <c r="D1428" t="s">
        <v>4663</v>
      </c>
      <c r="E1428" t="s">
        <v>4664</v>
      </c>
      <c r="F1428" t="s">
        <v>2332</v>
      </c>
      <c r="G1428" t="s">
        <v>28</v>
      </c>
      <c r="H1428" t="s">
        <v>28</v>
      </c>
      <c r="I1428" t="s">
        <v>1619</v>
      </c>
    </row>
    <row r="1429" spans="1:9" ht="11.25" customHeight="1">
      <c r="A1429" t="s">
        <v>2246</v>
      </c>
      <c r="B1429" t="s">
        <v>16</v>
      </c>
      <c r="C1429" t="s">
        <v>4665</v>
      </c>
      <c r="D1429" t="s">
        <v>4666</v>
      </c>
      <c r="E1429" t="s">
        <v>4667</v>
      </c>
      <c r="F1429" t="s">
        <v>2332</v>
      </c>
      <c r="G1429" t="s">
        <v>28</v>
      </c>
      <c r="H1429" t="s">
        <v>28</v>
      </c>
      <c r="I1429" t="s">
        <v>1619</v>
      </c>
    </row>
    <row r="1430" spans="1:9" ht="11.25" customHeight="1">
      <c r="A1430" t="s">
        <v>2246</v>
      </c>
      <c r="B1430" t="s">
        <v>16</v>
      </c>
      <c r="C1430" t="s">
        <v>4668</v>
      </c>
      <c r="D1430" t="s">
        <v>4669</v>
      </c>
      <c r="E1430" t="s">
        <v>4670</v>
      </c>
      <c r="F1430" t="s">
        <v>2303</v>
      </c>
      <c r="G1430" t="s">
        <v>28</v>
      </c>
      <c r="H1430" t="s">
        <v>28</v>
      </c>
      <c r="I1430" t="s">
        <v>1619</v>
      </c>
    </row>
    <row r="1431" spans="1:9" ht="11.25" customHeight="1">
      <c r="A1431" t="s">
        <v>2246</v>
      </c>
      <c r="B1431" t="s">
        <v>16</v>
      </c>
      <c r="C1431" t="s">
        <v>4671</v>
      </c>
      <c r="D1431" t="s">
        <v>4672</v>
      </c>
      <c r="E1431" t="s">
        <v>4673</v>
      </c>
      <c r="F1431" t="s">
        <v>2295</v>
      </c>
      <c r="G1431" t="s">
        <v>28</v>
      </c>
      <c r="H1431" t="s">
        <v>28</v>
      </c>
      <c r="I1431" t="s">
        <v>1619</v>
      </c>
    </row>
    <row r="1432" spans="1:9" ht="11.25" customHeight="1">
      <c r="A1432" t="s">
        <v>2246</v>
      </c>
      <c r="B1432" t="s">
        <v>16</v>
      </c>
      <c r="C1432" t="s">
        <v>4674</v>
      </c>
      <c r="D1432" t="s">
        <v>4675</v>
      </c>
      <c r="E1432" t="s">
        <v>4676</v>
      </c>
      <c r="F1432" t="s">
        <v>2332</v>
      </c>
      <c r="G1432" t="s">
        <v>28</v>
      </c>
      <c r="H1432" t="s">
        <v>28</v>
      </c>
      <c r="I1432" t="s">
        <v>1619</v>
      </c>
    </row>
    <row r="1433" spans="1:9" ht="11.25" customHeight="1">
      <c r="A1433" t="s">
        <v>2246</v>
      </c>
      <c r="B1433" t="s">
        <v>16</v>
      </c>
      <c r="C1433" t="s">
        <v>4677</v>
      </c>
      <c r="D1433" t="s">
        <v>4678</v>
      </c>
      <c r="E1433" t="s">
        <v>4679</v>
      </c>
      <c r="F1433" t="s">
        <v>2250</v>
      </c>
      <c r="G1433" t="s">
        <v>28</v>
      </c>
      <c r="H1433" t="s">
        <v>28</v>
      </c>
      <c r="I1433" t="s">
        <v>1619</v>
      </c>
    </row>
    <row r="1434" spans="1:9" ht="11.25" customHeight="1">
      <c r="A1434" t="s">
        <v>2246</v>
      </c>
      <c r="B1434" t="s">
        <v>16</v>
      </c>
      <c r="C1434" t="s">
        <v>4680</v>
      </c>
      <c r="D1434" t="s">
        <v>4681</v>
      </c>
      <c r="E1434" t="s">
        <v>4682</v>
      </c>
      <c r="F1434" t="s">
        <v>2384</v>
      </c>
      <c r="G1434" t="s">
        <v>28</v>
      </c>
      <c r="H1434" t="s">
        <v>28</v>
      </c>
      <c r="I1434" t="s">
        <v>1619</v>
      </c>
    </row>
    <row r="1435" spans="1:9" ht="11.25" customHeight="1">
      <c r="A1435" t="s">
        <v>2246</v>
      </c>
      <c r="B1435" t="s">
        <v>16</v>
      </c>
      <c r="C1435" t="s">
        <v>4683</v>
      </c>
      <c r="D1435" t="s">
        <v>4684</v>
      </c>
      <c r="E1435" t="s">
        <v>4685</v>
      </c>
      <c r="F1435" t="s">
        <v>2325</v>
      </c>
      <c r="G1435" t="s">
        <v>28</v>
      </c>
      <c r="H1435" t="s">
        <v>28</v>
      </c>
      <c r="I1435" t="s">
        <v>1619</v>
      </c>
    </row>
    <row r="1436" spans="1:9" ht="11.25" customHeight="1">
      <c r="A1436" t="s">
        <v>2246</v>
      </c>
      <c r="B1436" t="s">
        <v>16</v>
      </c>
      <c r="C1436" t="s">
        <v>4686</v>
      </c>
      <c r="D1436" t="s">
        <v>4687</v>
      </c>
      <c r="E1436" t="s">
        <v>4688</v>
      </c>
      <c r="F1436" t="s">
        <v>2295</v>
      </c>
      <c r="G1436" t="s">
        <v>28</v>
      </c>
      <c r="H1436" t="s">
        <v>28</v>
      </c>
      <c r="I1436" t="s">
        <v>1619</v>
      </c>
    </row>
    <row r="1437" spans="1:9" ht="11.25" customHeight="1">
      <c r="A1437" t="s">
        <v>2246</v>
      </c>
      <c r="B1437" t="s">
        <v>16</v>
      </c>
      <c r="C1437" t="s">
        <v>4689</v>
      </c>
      <c r="D1437" t="s">
        <v>4690</v>
      </c>
      <c r="E1437" t="s">
        <v>4691</v>
      </c>
      <c r="F1437" t="s">
        <v>2332</v>
      </c>
      <c r="G1437" t="s">
        <v>28</v>
      </c>
      <c r="H1437" t="s">
        <v>28</v>
      </c>
      <c r="I1437" t="s">
        <v>1619</v>
      </c>
    </row>
    <row r="1438" spans="1:9" ht="11.25" customHeight="1">
      <c r="A1438" t="s">
        <v>2246</v>
      </c>
      <c r="B1438" t="s">
        <v>16</v>
      </c>
      <c r="C1438" t="s">
        <v>4692</v>
      </c>
      <c r="D1438" t="s">
        <v>4693</v>
      </c>
      <c r="E1438" t="s">
        <v>4694</v>
      </c>
      <c r="F1438" t="s">
        <v>2295</v>
      </c>
      <c r="G1438" t="s">
        <v>28</v>
      </c>
      <c r="H1438" t="s">
        <v>28</v>
      </c>
      <c r="I1438" t="s">
        <v>1619</v>
      </c>
    </row>
    <row r="1439" spans="1:9" ht="11.25" customHeight="1">
      <c r="A1439" t="s">
        <v>2246</v>
      </c>
      <c r="B1439" t="s">
        <v>16</v>
      </c>
      <c r="C1439" t="s">
        <v>4695</v>
      </c>
      <c r="D1439" t="s">
        <v>4696</v>
      </c>
      <c r="E1439" t="s">
        <v>4697</v>
      </c>
      <c r="F1439" t="s">
        <v>2384</v>
      </c>
      <c r="G1439" t="s">
        <v>28</v>
      </c>
      <c r="H1439" t="s">
        <v>28</v>
      </c>
      <c r="I1439" t="s">
        <v>1619</v>
      </c>
    </row>
    <row r="1440" spans="1:9" ht="11.25" customHeight="1">
      <c r="A1440" t="s">
        <v>2246</v>
      </c>
      <c r="B1440" t="s">
        <v>16</v>
      </c>
      <c r="C1440" t="s">
        <v>4698</v>
      </c>
      <c r="D1440" t="s">
        <v>4699</v>
      </c>
      <c r="E1440" t="s">
        <v>4700</v>
      </c>
      <c r="F1440" t="s">
        <v>2268</v>
      </c>
      <c r="G1440" t="s">
        <v>4701</v>
      </c>
      <c r="H1440" t="s">
        <v>28</v>
      </c>
      <c r="I1440" t="s">
        <v>1619</v>
      </c>
    </row>
    <row r="1441" spans="1:9" ht="11.25" customHeight="1">
      <c r="A1441" t="s">
        <v>2246</v>
      </c>
      <c r="B1441" t="s">
        <v>16</v>
      </c>
      <c r="C1441" t="s">
        <v>4702</v>
      </c>
      <c r="D1441" t="s">
        <v>4703</v>
      </c>
      <c r="E1441" t="s">
        <v>4704</v>
      </c>
      <c r="F1441" t="s">
        <v>2687</v>
      </c>
      <c r="G1441" t="s">
        <v>28</v>
      </c>
      <c r="H1441" t="s">
        <v>28</v>
      </c>
      <c r="I1441" t="s">
        <v>1619</v>
      </c>
    </row>
    <row r="1442" spans="1:9" ht="11.25" customHeight="1">
      <c r="A1442" t="s">
        <v>2246</v>
      </c>
      <c r="B1442" t="s">
        <v>16</v>
      </c>
      <c r="C1442" t="s">
        <v>4705</v>
      </c>
      <c r="D1442" t="s">
        <v>4706</v>
      </c>
      <c r="E1442" t="s">
        <v>4707</v>
      </c>
      <c r="F1442" t="s">
        <v>2303</v>
      </c>
      <c r="G1442" t="s">
        <v>28</v>
      </c>
      <c r="H1442" t="s">
        <v>28</v>
      </c>
      <c r="I1442" t="s">
        <v>1619</v>
      </c>
    </row>
    <row r="1443" spans="1:9" ht="11.25" customHeight="1">
      <c r="A1443" t="s">
        <v>2246</v>
      </c>
      <c r="B1443" t="s">
        <v>16</v>
      </c>
      <c r="C1443" t="s">
        <v>4708</v>
      </c>
      <c r="D1443" t="s">
        <v>4709</v>
      </c>
      <c r="E1443" t="s">
        <v>4710</v>
      </c>
      <c r="F1443" t="s">
        <v>2343</v>
      </c>
      <c r="G1443" t="s">
        <v>28</v>
      </c>
      <c r="H1443" t="s">
        <v>28</v>
      </c>
      <c r="I1443" t="s">
        <v>1619</v>
      </c>
    </row>
    <row r="1444" spans="1:9" ht="11.25" customHeight="1">
      <c r="A1444" t="s">
        <v>2246</v>
      </c>
      <c r="B1444" t="s">
        <v>16</v>
      </c>
      <c r="C1444" t="s">
        <v>4711</v>
      </c>
      <c r="D1444" t="s">
        <v>4712</v>
      </c>
      <c r="E1444" t="s">
        <v>4713</v>
      </c>
      <c r="F1444" t="s">
        <v>2250</v>
      </c>
      <c r="G1444" t="s">
        <v>28</v>
      </c>
      <c r="H1444" t="s">
        <v>28</v>
      </c>
      <c r="I1444" t="s">
        <v>1619</v>
      </c>
    </row>
    <row r="1445" spans="1:9" ht="11.25" customHeight="1">
      <c r="A1445" t="s">
        <v>2246</v>
      </c>
      <c r="B1445" t="s">
        <v>16</v>
      </c>
      <c r="C1445" t="s">
        <v>4714</v>
      </c>
      <c r="D1445" t="s">
        <v>4715</v>
      </c>
      <c r="E1445" t="s">
        <v>4716</v>
      </c>
      <c r="F1445" t="s">
        <v>2250</v>
      </c>
      <c r="G1445" t="s">
        <v>28</v>
      </c>
      <c r="H1445" t="s">
        <v>28</v>
      </c>
      <c r="I1445" t="s">
        <v>1619</v>
      </c>
    </row>
    <row r="1446" spans="1:9" ht="11.25" customHeight="1">
      <c r="A1446" t="s">
        <v>2246</v>
      </c>
      <c r="B1446" t="s">
        <v>16</v>
      </c>
      <c r="C1446" t="s">
        <v>4717</v>
      </c>
      <c r="D1446" t="s">
        <v>4718</v>
      </c>
      <c r="E1446" t="s">
        <v>4719</v>
      </c>
      <c r="F1446" t="s">
        <v>2332</v>
      </c>
      <c r="G1446" t="s">
        <v>28</v>
      </c>
      <c r="H1446" t="s">
        <v>28</v>
      </c>
      <c r="I1446" t="s">
        <v>1619</v>
      </c>
    </row>
    <row r="1447" spans="1:9" ht="11.25" customHeight="1">
      <c r="A1447" t="s">
        <v>2246</v>
      </c>
      <c r="B1447" t="s">
        <v>16</v>
      </c>
      <c r="C1447" t="s">
        <v>4720</v>
      </c>
      <c r="D1447" t="s">
        <v>4721</v>
      </c>
      <c r="E1447" t="s">
        <v>4722</v>
      </c>
      <c r="F1447" t="s">
        <v>2332</v>
      </c>
      <c r="G1447" t="s">
        <v>28</v>
      </c>
      <c r="H1447" t="s">
        <v>28</v>
      </c>
      <c r="I1447" t="s">
        <v>1619</v>
      </c>
    </row>
    <row r="1448" spans="1:9" ht="11.25" customHeight="1">
      <c r="A1448" t="s">
        <v>2246</v>
      </c>
      <c r="B1448" t="s">
        <v>16</v>
      </c>
      <c r="C1448" t="s">
        <v>4723</v>
      </c>
      <c r="D1448" t="s">
        <v>4724</v>
      </c>
      <c r="E1448" t="s">
        <v>4725</v>
      </c>
      <c r="F1448" t="s">
        <v>2384</v>
      </c>
      <c r="G1448" t="s">
        <v>28</v>
      </c>
      <c r="H1448" t="s">
        <v>28</v>
      </c>
      <c r="I1448" t="s">
        <v>1619</v>
      </c>
    </row>
    <row r="1449" spans="1:9" ht="11.25" customHeight="1">
      <c r="A1449" t="s">
        <v>2246</v>
      </c>
      <c r="B1449" t="s">
        <v>16</v>
      </c>
      <c r="C1449" t="s">
        <v>4726</v>
      </c>
      <c r="D1449" t="s">
        <v>4727</v>
      </c>
      <c r="E1449" t="s">
        <v>4728</v>
      </c>
      <c r="F1449" t="s">
        <v>2906</v>
      </c>
      <c r="G1449" t="s">
        <v>28</v>
      </c>
      <c r="H1449" t="s">
        <v>28</v>
      </c>
      <c r="I1449" t="s">
        <v>1619</v>
      </c>
    </row>
    <row r="1450" spans="1:9" ht="11.25" customHeight="1">
      <c r="A1450" t="s">
        <v>2246</v>
      </c>
      <c r="B1450" t="s">
        <v>16</v>
      </c>
      <c r="C1450" t="s">
        <v>4729</v>
      </c>
      <c r="D1450" t="s">
        <v>4730</v>
      </c>
      <c r="E1450" t="s">
        <v>4731</v>
      </c>
      <c r="F1450" t="s">
        <v>2360</v>
      </c>
      <c r="G1450" t="s">
        <v>28</v>
      </c>
      <c r="H1450" t="s">
        <v>28</v>
      </c>
      <c r="I1450" t="s">
        <v>1619</v>
      </c>
    </row>
    <row r="1451" spans="1:9" ht="11.25" customHeight="1">
      <c r="A1451" t="s">
        <v>2246</v>
      </c>
      <c r="B1451" t="s">
        <v>16</v>
      </c>
      <c r="C1451" t="s">
        <v>4732</v>
      </c>
      <c r="D1451" t="s">
        <v>4733</v>
      </c>
      <c r="E1451" t="s">
        <v>4734</v>
      </c>
      <c r="F1451" t="s">
        <v>3671</v>
      </c>
      <c r="G1451" t="s">
        <v>28</v>
      </c>
      <c r="H1451" t="s">
        <v>28</v>
      </c>
      <c r="I1451" t="s">
        <v>1619</v>
      </c>
    </row>
    <row r="1452" spans="1:9" ht="11.25" customHeight="1">
      <c r="A1452" t="s">
        <v>2246</v>
      </c>
      <c r="B1452" t="s">
        <v>16</v>
      </c>
      <c r="C1452" t="s">
        <v>4735</v>
      </c>
      <c r="D1452" t="s">
        <v>4736</v>
      </c>
      <c r="E1452" t="s">
        <v>4737</v>
      </c>
      <c r="F1452" t="s">
        <v>2384</v>
      </c>
      <c r="G1452" t="s">
        <v>28</v>
      </c>
      <c r="H1452" t="s">
        <v>28</v>
      </c>
      <c r="I1452" t="s">
        <v>1619</v>
      </c>
    </row>
    <row r="1453" spans="1:9" ht="11.25" customHeight="1">
      <c r="A1453" t="s">
        <v>2246</v>
      </c>
      <c r="B1453" t="s">
        <v>16</v>
      </c>
      <c r="C1453" t="s">
        <v>4738</v>
      </c>
      <c r="D1453" t="s">
        <v>4739</v>
      </c>
      <c r="E1453" t="s">
        <v>4740</v>
      </c>
      <c r="F1453" t="s">
        <v>2582</v>
      </c>
      <c r="G1453" t="s">
        <v>28</v>
      </c>
      <c r="H1453" t="s">
        <v>28</v>
      </c>
      <c r="I1453" t="s">
        <v>1619</v>
      </c>
    </row>
    <row r="1454" spans="1:9" ht="11.25" customHeight="1">
      <c r="A1454" t="s">
        <v>2246</v>
      </c>
      <c r="B1454" t="s">
        <v>16</v>
      </c>
      <c r="C1454" t="s">
        <v>4741</v>
      </c>
      <c r="D1454" t="s">
        <v>4742</v>
      </c>
      <c r="E1454" t="s">
        <v>4743</v>
      </c>
      <c r="F1454" t="s">
        <v>3609</v>
      </c>
      <c r="G1454" t="s">
        <v>28</v>
      </c>
      <c r="H1454" t="s">
        <v>28</v>
      </c>
      <c r="I1454" t="s">
        <v>1619</v>
      </c>
    </row>
    <row r="1455" spans="1:9" ht="11.25" customHeight="1">
      <c r="A1455" t="s">
        <v>2246</v>
      </c>
      <c r="B1455" t="s">
        <v>16</v>
      </c>
      <c r="C1455" t="s">
        <v>4744</v>
      </c>
      <c r="D1455" t="s">
        <v>4745</v>
      </c>
      <c r="E1455" t="s">
        <v>4746</v>
      </c>
      <c r="F1455" t="s">
        <v>4747</v>
      </c>
      <c r="G1455" t="s">
        <v>28</v>
      </c>
      <c r="H1455" t="s">
        <v>28</v>
      </c>
      <c r="I1455" t="s">
        <v>1619</v>
      </c>
    </row>
    <row r="1456" spans="1:9" ht="11.25" customHeight="1">
      <c r="A1456" t="s">
        <v>2246</v>
      </c>
      <c r="B1456" t="s">
        <v>16</v>
      </c>
      <c r="C1456" t="s">
        <v>4748</v>
      </c>
      <c r="D1456" t="s">
        <v>4749</v>
      </c>
      <c r="E1456" t="s">
        <v>4750</v>
      </c>
      <c r="F1456" t="s">
        <v>2295</v>
      </c>
      <c r="G1456" t="s">
        <v>28</v>
      </c>
      <c r="H1456" t="s">
        <v>28</v>
      </c>
      <c r="I1456" t="s">
        <v>1619</v>
      </c>
    </row>
    <row r="1457" spans="1:9" ht="11.25" customHeight="1">
      <c r="A1457" t="s">
        <v>2246</v>
      </c>
      <c r="B1457" t="s">
        <v>16</v>
      </c>
      <c r="C1457" t="s">
        <v>4751</v>
      </c>
      <c r="D1457" t="s">
        <v>4752</v>
      </c>
      <c r="E1457" t="s">
        <v>4753</v>
      </c>
      <c r="F1457" t="s">
        <v>50</v>
      </c>
      <c r="G1457" t="s">
        <v>28</v>
      </c>
      <c r="H1457" t="s">
        <v>28</v>
      </c>
      <c r="I1457" t="s">
        <v>1619</v>
      </c>
    </row>
    <row r="1458" spans="1:9" ht="11.25" customHeight="1">
      <c r="A1458" t="s">
        <v>2246</v>
      </c>
      <c r="B1458" t="s">
        <v>16</v>
      </c>
      <c r="C1458" t="s">
        <v>4754</v>
      </c>
      <c r="D1458" t="s">
        <v>4755</v>
      </c>
      <c r="E1458" t="s">
        <v>4756</v>
      </c>
      <c r="F1458" t="s">
        <v>4747</v>
      </c>
      <c r="G1458" t="s">
        <v>28</v>
      </c>
      <c r="H1458" t="s">
        <v>28</v>
      </c>
      <c r="I1458" t="s">
        <v>1619</v>
      </c>
    </row>
    <row r="1459" spans="1:9" ht="11.25" customHeight="1">
      <c r="A1459" t="s">
        <v>2246</v>
      </c>
      <c r="B1459" t="s">
        <v>16</v>
      </c>
      <c r="C1459" t="s">
        <v>4757</v>
      </c>
      <c r="D1459" t="s">
        <v>4758</v>
      </c>
      <c r="E1459" t="s">
        <v>4759</v>
      </c>
      <c r="F1459" t="s">
        <v>2303</v>
      </c>
      <c r="G1459" t="s">
        <v>28</v>
      </c>
      <c r="H1459" t="s">
        <v>28</v>
      </c>
      <c r="I1459" t="s">
        <v>1619</v>
      </c>
    </row>
    <row r="1460" spans="1:9" ht="11.25" customHeight="1">
      <c r="A1460" t="s">
        <v>2246</v>
      </c>
      <c r="B1460" t="s">
        <v>16</v>
      </c>
      <c r="C1460" t="s">
        <v>4760</v>
      </c>
      <c r="D1460" t="s">
        <v>4761</v>
      </c>
      <c r="E1460" t="s">
        <v>4762</v>
      </c>
      <c r="F1460" t="s">
        <v>2295</v>
      </c>
      <c r="G1460" t="s">
        <v>28</v>
      </c>
      <c r="H1460" t="s">
        <v>28</v>
      </c>
      <c r="I1460" t="s">
        <v>1619</v>
      </c>
    </row>
    <row r="1461" spans="1:9" ht="11.25" customHeight="1">
      <c r="A1461" t="s">
        <v>2246</v>
      </c>
      <c r="B1461" t="s">
        <v>16</v>
      </c>
      <c r="C1461" t="s">
        <v>4763</v>
      </c>
      <c r="D1461" t="s">
        <v>4764</v>
      </c>
      <c r="E1461" t="s">
        <v>4765</v>
      </c>
      <c r="F1461" t="s">
        <v>4766</v>
      </c>
      <c r="G1461" t="s">
        <v>28</v>
      </c>
      <c r="H1461" t="s">
        <v>28</v>
      </c>
      <c r="I1461" t="s">
        <v>1619</v>
      </c>
    </row>
    <row r="1462" spans="1:9" ht="11.25" customHeight="1">
      <c r="A1462" t="s">
        <v>2246</v>
      </c>
      <c r="B1462" t="s">
        <v>16</v>
      </c>
      <c r="C1462" t="s">
        <v>4767</v>
      </c>
      <c r="D1462" t="s">
        <v>4768</v>
      </c>
      <c r="E1462" t="s">
        <v>4769</v>
      </c>
      <c r="F1462" t="s">
        <v>50</v>
      </c>
      <c r="G1462" t="s">
        <v>28</v>
      </c>
      <c r="H1462" t="s">
        <v>28</v>
      </c>
      <c r="I1462" t="s">
        <v>1619</v>
      </c>
    </row>
    <row r="1463" spans="1:9" ht="11.25" customHeight="1">
      <c r="A1463" t="s">
        <v>2246</v>
      </c>
      <c r="B1463" t="s">
        <v>16</v>
      </c>
      <c r="C1463" t="s">
        <v>4770</v>
      </c>
      <c r="D1463" t="s">
        <v>4771</v>
      </c>
      <c r="E1463" t="s">
        <v>4772</v>
      </c>
      <c r="F1463" t="s">
        <v>3698</v>
      </c>
      <c r="G1463" t="s">
        <v>28</v>
      </c>
      <c r="H1463" t="s">
        <v>28</v>
      </c>
      <c r="I1463" t="s">
        <v>1619</v>
      </c>
    </row>
    <row r="1464" spans="1:9" ht="11.25" customHeight="1">
      <c r="A1464" t="s">
        <v>2246</v>
      </c>
      <c r="B1464" t="s">
        <v>16</v>
      </c>
      <c r="C1464" t="s">
        <v>4773</v>
      </c>
      <c r="D1464" t="s">
        <v>4774</v>
      </c>
      <c r="E1464" t="s">
        <v>4775</v>
      </c>
      <c r="F1464" t="s">
        <v>2295</v>
      </c>
      <c r="G1464" t="s">
        <v>28</v>
      </c>
      <c r="H1464" t="s">
        <v>28</v>
      </c>
      <c r="I1464" t="s">
        <v>1619</v>
      </c>
    </row>
    <row r="1465" spans="1:9" ht="11.25" customHeight="1">
      <c r="A1465" t="s">
        <v>2246</v>
      </c>
      <c r="B1465" t="s">
        <v>16</v>
      </c>
      <c r="C1465" t="s">
        <v>4776</v>
      </c>
      <c r="D1465" t="s">
        <v>4777</v>
      </c>
      <c r="E1465" t="s">
        <v>4778</v>
      </c>
      <c r="F1465" t="s">
        <v>2303</v>
      </c>
      <c r="G1465" t="s">
        <v>28</v>
      </c>
      <c r="H1465" t="s">
        <v>28</v>
      </c>
      <c r="I1465" t="s">
        <v>1619</v>
      </c>
    </row>
    <row r="1466" spans="1:9" ht="11.25" customHeight="1">
      <c r="A1466" t="s">
        <v>2246</v>
      </c>
      <c r="B1466" t="s">
        <v>16</v>
      </c>
      <c r="C1466" t="s">
        <v>4779</v>
      </c>
      <c r="D1466" t="s">
        <v>4780</v>
      </c>
      <c r="E1466" t="s">
        <v>4781</v>
      </c>
      <c r="F1466" t="s">
        <v>2286</v>
      </c>
      <c r="G1466" t="s">
        <v>28</v>
      </c>
      <c r="H1466" t="s">
        <v>28</v>
      </c>
      <c r="I1466" t="s">
        <v>1619</v>
      </c>
    </row>
    <row r="1467" spans="1:9" ht="11.25" customHeight="1">
      <c r="A1467" t="s">
        <v>2246</v>
      </c>
      <c r="B1467" t="s">
        <v>16</v>
      </c>
      <c r="C1467" t="s">
        <v>4782</v>
      </c>
      <c r="D1467" t="s">
        <v>4783</v>
      </c>
      <c r="E1467" t="s">
        <v>4784</v>
      </c>
      <c r="F1467" t="s">
        <v>3180</v>
      </c>
      <c r="G1467" t="s">
        <v>28</v>
      </c>
      <c r="H1467" t="s">
        <v>28</v>
      </c>
      <c r="I1467" t="s">
        <v>1619</v>
      </c>
    </row>
    <row r="1468" spans="1:9" ht="11.25" customHeight="1">
      <c r="A1468" t="s">
        <v>2246</v>
      </c>
      <c r="B1468" t="s">
        <v>16</v>
      </c>
      <c r="C1468" t="s">
        <v>4785</v>
      </c>
      <c r="D1468" t="s">
        <v>4786</v>
      </c>
      <c r="E1468" t="s">
        <v>4787</v>
      </c>
      <c r="F1468" t="s">
        <v>2295</v>
      </c>
      <c r="G1468" t="s">
        <v>28</v>
      </c>
      <c r="H1468" t="s">
        <v>28</v>
      </c>
      <c r="I1468" t="s">
        <v>1619</v>
      </c>
    </row>
    <row r="1469" spans="1:9" ht="11.25" customHeight="1">
      <c r="A1469" t="s">
        <v>2246</v>
      </c>
      <c r="B1469" t="s">
        <v>16</v>
      </c>
      <c r="C1469" t="s">
        <v>4788</v>
      </c>
      <c r="D1469" t="s">
        <v>4789</v>
      </c>
      <c r="E1469" t="s">
        <v>4790</v>
      </c>
      <c r="F1469" t="s">
        <v>4747</v>
      </c>
      <c r="G1469" t="s">
        <v>28</v>
      </c>
      <c r="H1469" t="s">
        <v>28</v>
      </c>
      <c r="I1469" t="s">
        <v>1619</v>
      </c>
    </row>
    <row r="1470" spans="1:9" ht="11.25" customHeight="1">
      <c r="A1470" t="s">
        <v>2246</v>
      </c>
      <c r="B1470" t="s">
        <v>16</v>
      </c>
      <c r="C1470" t="s">
        <v>4791</v>
      </c>
      <c r="D1470" t="s">
        <v>4792</v>
      </c>
      <c r="E1470" t="s">
        <v>4793</v>
      </c>
      <c r="F1470" t="s">
        <v>2347</v>
      </c>
      <c r="G1470" t="s">
        <v>28</v>
      </c>
      <c r="H1470" t="s">
        <v>28</v>
      </c>
      <c r="I1470" t="s">
        <v>1619</v>
      </c>
    </row>
    <row r="1471" spans="1:9" ht="11.25" customHeight="1">
      <c r="A1471" t="s">
        <v>2246</v>
      </c>
      <c r="B1471" t="s">
        <v>16</v>
      </c>
      <c r="C1471" t="s">
        <v>28</v>
      </c>
      <c r="D1471" t="s">
        <v>4100</v>
      </c>
      <c r="E1471" t="s">
        <v>4101</v>
      </c>
      <c r="F1471" t="s">
        <v>2384</v>
      </c>
      <c r="G1471" t="s">
        <v>28</v>
      </c>
      <c r="H1471" t="s">
        <v>28</v>
      </c>
      <c r="I1471"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9"/>
  <sheetViews>
    <sheetView showGridLines="0" workbookViewId="0"/>
  </sheetViews>
  <sheetFormatPr defaultRowHeight="11.25" customHeight="1"/>
  <sheetData>
    <row r="1" spans="1:7" ht="11.25" customHeight="1">
      <c r="A1" t="s">
        <v>4794</v>
      </c>
      <c r="B1" s="2" t="s">
        <v>4795</v>
      </c>
      <c r="C1" s="2" t="s">
        <v>4796</v>
      </c>
      <c r="D1" s="2" t="s">
        <v>4797</v>
      </c>
      <c r="E1" t="s">
        <v>4798</v>
      </c>
      <c r="F1" t="s">
        <v>4799</v>
      </c>
      <c r="G1" t="s">
        <v>4800</v>
      </c>
    </row>
    <row r="2" spans="1:7" ht="11.25" customHeight="1">
      <c r="A2" t="s">
        <v>16</v>
      </c>
      <c r="B2" t="s">
        <v>4801</v>
      </c>
      <c r="C2" t="s">
        <v>4802</v>
      </c>
      <c r="D2" t="s">
        <v>4801</v>
      </c>
      <c r="E2" t="s">
        <v>4802</v>
      </c>
      <c r="F2" t="s">
        <v>4803</v>
      </c>
      <c r="G2" t="s">
        <v>107</v>
      </c>
    </row>
    <row r="3" spans="1:7" ht="11.25" customHeight="1">
      <c r="A3" t="s">
        <v>16</v>
      </c>
      <c r="B3" t="s">
        <v>4804</v>
      </c>
      <c r="C3" t="s">
        <v>4805</v>
      </c>
      <c r="D3" t="s">
        <v>4804</v>
      </c>
      <c r="E3" t="s">
        <v>4805</v>
      </c>
      <c r="F3" t="s">
        <v>4806</v>
      </c>
      <c r="G3" t="s">
        <v>108</v>
      </c>
    </row>
    <row r="4" spans="1:7" ht="11.25" customHeight="1">
      <c r="A4" t="s">
        <v>16</v>
      </c>
      <c r="B4" t="s">
        <v>4807</v>
      </c>
      <c r="C4" t="s">
        <v>4808</v>
      </c>
      <c r="D4" t="s">
        <v>4807</v>
      </c>
      <c r="E4" t="s">
        <v>4808</v>
      </c>
      <c r="F4" t="s">
        <v>4803</v>
      </c>
      <c r="G4" t="s">
        <v>88</v>
      </c>
    </row>
    <row r="5" spans="1:7" ht="11.25" customHeight="1">
      <c r="A5" t="s">
        <v>16</v>
      </c>
      <c r="B5" t="s">
        <v>4809</v>
      </c>
      <c r="C5" t="s">
        <v>4810</v>
      </c>
      <c r="D5" t="s">
        <v>4809</v>
      </c>
      <c r="E5" t="s">
        <v>4810</v>
      </c>
      <c r="F5" t="s">
        <v>4806</v>
      </c>
      <c r="G5" t="s">
        <v>89</v>
      </c>
    </row>
    <row r="6" spans="1:7" ht="11.25" customHeight="1">
      <c r="A6" t="s">
        <v>16</v>
      </c>
      <c r="B6" t="s">
        <v>4811</v>
      </c>
      <c r="C6" t="s">
        <v>4812</v>
      </c>
      <c r="D6" t="s">
        <v>4811</v>
      </c>
      <c r="E6" t="s">
        <v>4812</v>
      </c>
      <c r="F6" t="s">
        <v>4803</v>
      </c>
      <c r="G6" t="s">
        <v>109</v>
      </c>
    </row>
    <row r="7" spans="1:7" ht="11.25" customHeight="1">
      <c r="A7" t="s">
        <v>16</v>
      </c>
      <c r="B7" t="s">
        <v>4813</v>
      </c>
      <c r="C7" t="s">
        <v>4814</v>
      </c>
      <c r="D7" t="s">
        <v>4813</v>
      </c>
      <c r="E7" t="s">
        <v>4814</v>
      </c>
      <c r="F7" t="s">
        <v>4806</v>
      </c>
      <c r="G7" t="s">
        <v>90</v>
      </c>
    </row>
    <row r="8" spans="1:7" ht="11.25" customHeight="1">
      <c r="A8" t="s">
        <v>16</v>
      </c>
      <c r="B8" t="s">
        <v>4815</v>
      </c>
      <c r="C8" t="s">
        <v>4816</v>
      </c>
      <c r="D8" t="s">
        <v>4815</v>
      </c>
      <c r="E8" t="s">
        <v>4816</v>
      </c>
      <c r="F8" t="s">
        <v>4803</v>
      </c>
      <c r="G8" t="s">
        <v>91</v>
      </c>
    </row>
    <row r="9" spans="1:7" ht="11.25" customHeight="1">
      <c r="A9" t="s">
        <v>16</v>
      </c>
      <c r="B9" t="s">
        <v>4817</v>
      </c>
      <c r="C9" t="s">
        <v>4818</v>
      </c>
      <c r="D9" t="s">
        <v>4817</v>
      </c>
      <c r="E9" t="s">
        <v>4818</v>
      </c>
      <c r="F9" t="s">
        <v>4806</v>
      </c>
      <c r="G9" t="s">
        <v>110</v>
      </c>
    </row>
    <row r="10" spans="1:7" ht="11.25" customHeight="1">
      <c r="A10" t="s">
        <v>16</v>
      </c>
      <c r="B10" t="s">
        <v>4819</v>
      </c>
      <c r="C10" t="s">
        <v>4820</v>
      </c>
      <c r="D10" t="s">
        <v>4819</v>
      </c>
      <c r="E10" t="s">
        <v>4820</v>
      </c>
      <c r="F10" t="s">
        <v>4803</v>
      </c>
      <c r="G10" t="s">
        <v>146</v>
      </c>
    </row>
    <row r="11" spans="1:7" ht="11.25" customHeight="1">
      <c r="A11" t="s">
        <v>16</v>
      </c>
      <c r="B11" t="s">
        <v>4821</v>
      </c>
      <c r="C11" t="s">
        <v>4822</v>
      </c>
      <c r="D11" t="s">
        <v>4821</v>
      </c>
      <c r="E11" t="s">
        <v>4822</v>
      </c>
      <c r="F11" t="s">
        <v>4806</v>
      </c>
      <c r="G11" t="s">
        <v>147</v>
      </c>
    </row>
    <row r="12" spans="1:7" ht="11.25" customHeight="1">
      <c r="A12" t="s">
        <v>16</v>
      </c>
      <c r="B12" t="s">
        <v>4823</v>
      </c>
      <c r="C12" t="s">
        <v>4824</v>
      </c>
      <c r="D12" t="s">
        <v>4825</v>
      </c>
      <c r="E12" t="s">
        <v>4826</v>
      </c>
      <c r="F12" t="s">
        <v>4827</v>
      </c>
      <c r="G12" t="s">
        <v>148</v>
      </c>
    </row>
    <row r="13" spans="1:7" ht="11.25" customHeight="1">
      <c r="A13" t="s">
        <v>16</v>
      </c>
      <c r="B13" t="s">
        <v>4823</v>
      </c>
      <c r="C13" t="s">
        <v>4824</v>
      </c>
      <c r="D13" t="s">
        <v>4823</v>
      </c>
      <c r="E13" t="s">
        <v>4824</v>
      </c>
      <c r="F13" t="s">
        <v>4828</v>
      </c>
      <c r="G13" t="s">
        <v>149</v>
      </c>
    </row>
    <row r="14" spans="1:7" ht="11.25" customHeight="1">
      <c r="A14" t="s">
        <v>16</v>
      </c>
      <c r="B14" t="s">
        <v>4823</v>
      </c>
      <c r="C14" t="s">
        <v>4824</v>
      </c>
      <c r="D14" t="s">
        <v>4829</v>
      </c>
      <c r="E14" t="s">
        <v>4830</v>
      </c>
      <c r="F14" t="s">
        <v>4827</v>
      </c>
      <c r="G14" t="s">
        <v>150</v>
      </c>
    </row>
    <row r="15" spans="1:7" ht="11.25" customHeight="1">
      <c r="A15" t="s">
        <v>16</v>
      </c>
      <c r="B15" t="s">
        <v>4823</v>
      </c>
      <c r="C15" t="s">
        <v>4824</v>
      </c>
      <c r="D15" t="s">
        <v>4831</v>
      </c>
      <c r="E15" t="s">
        <v>4832</v>
      </c>
      <c r="F15" t="s">
        <v>4827</v>
      </c>
      <c r="G15" t="s">
        <v>151</v>
      </c>
    </row>
    <row r="16" spans="1:7" ht="11.25" customHeight="1">
      <c r="A16" t="s">
        <v>16</v>
      </c>
      <c r="B16" t="s">
        <v>4833</v>
      </c>
      <c r="C16" t="s">
        <v>4834</v>
      </c>
      <c r="D16" t="s">
        <v>4833</v>
      </c>
      <c r="E16" t="s">
        <v>4834</v>
      </c>
      <c r="F16" t="s">
        <v>4803</v>
      </c>
      <c r="G16" t="s">
        <v>1463</v>
      </c>
    </row>
    <row r="17" spans="1:7" ht="11.25" customHeight="1">
      <c r="A17" t="s">
        <v>16</v>
      </c>
      <c r="B17" t="s">
        <v>4835</v>
      </c>
      <c r="C17" t="s">
        <v>4836</v>
      </c>
      <c r="D17" t="s">
        <v>4835</v>
      </c>
      <c r="E17" t="s">
        <v>4836</v>
      </c>
      <c r="F17" t="s">
        <v>4806</v>
      </c>
      <c r="G17" t="s">
        <v>1469</v>
      </c>
    </row>
    <row r="18" spans="1:7" ht="11.25" customHeight="1">
      <c r="A18" t="s">
        <v>16</v>
      </c>
      <c r="B18" t="s">
        <v>4837</v>
      </c>
      <c r="C18" t="s">
        <v>4838</v>
      </c>
      <c r="D18" t="s">
        <v>4837</v>
      </c>
      <c r="E18" t="s">
        <v>4838</v>
      </c>
      <c r="F18" t="s">
        <v>4803</v>
      </c>
      <c r="G18" t="s">
        <v>1481</v>
      </c>
    </row>
    <row r="19" spans="1:7" ht="11.25" customHeight="1">
      <c r="A19" t="s">
        <v>16</v>
      </c>
      <c r="B19" t="s">
        <v>98</v>
      </c>
      <c r="C19" t="s">
        <v>99</v>
      </c>
      <c r="D19" t="s">
        <v>98</v>
      </c>
      <c r="E19" t="s">
        <v>99</v>
      </c>
      <c r="F19" t="s">
        <v>4806</v>
      </c>
      <c r="G19" t="s">
        <v>97</v>
      </c>
    </row>
    <row r="20" spans="1:7" ht="11.25" customHeight="1">
      <c r="A20" t="s">
        <v>16</v>
      </c>
      <c r="B20" t="s">
        <v>4839</v>
      </c>
      <c r="C20" t="s">
        <v>4840</v>
      </c>
      <c r="D20" t="s">
        <v>4839</v>
      </c>
      <c r="E20" t="s">
        <v>4840</v>
      </c>
      <c r="F20" t="s">
        <v>4803</v>
      </c>
      <c r="G20" t="s">
        <v>1506</v>
      </c>
    </row>
    <row r="21" spans="1:7" ht="11.25" customHeight="1">
      <c r="A21" t="s">
        <v>16</v>
      </c>
      <c r="B21" t="s">
        <v>4841</v>
      </c>
      <c r="C21" t="s">
        <v>4842</v>
      </c>
      <c r="D21" t="s">
        <v>4841</v>
      </c>
      <c r="E21" t="s">
        <v>4842</v>
      </c>
      <c r="F21" t="s">
        <v>4806</v>
      </c>
      <c r="G21" t="s">
        <v>1515</v>
      </c>
    </row>
    <row r="22" spans="1:7" ht="11.25" customHeight="1">
      <c r="A22" t="s">
        <v>16</v>
      </c>
      <c r="B22" t="s">
        <v>4843</v>
      </c>
      <c r="C22" t="s">
        <v>4844</v>
      </c>
      <c r="D22" t="s">
        <v>4843</v>
      </c>
      <c r="E22" t="s">
        <v>4844</v>
      </c>
      <c r="F22" t="s">
        <v>4803</v>
      </c>
      <c r="G22" t="s">
        <v>1531</v>
      </c>
    </row>
    <row r="23" spans="1:7" ht="11.25" customHeight="1">
      <c r="A23" t="s">
        <v>16</v>
      </c>
      <c r="B23" t="s">
        <v>4845</v>
      </c>
      <c r="C23" t="s">
        <v>4846</v>
      </c>
      <c r="D23" t="s">
        <v>4845</v>
      </c>
      <c r="E23" t="s">
        <v>4846</v>
      </c>
      <c r="F23" t="s">
        <v>4803</v>
      </c>
      <c r="G23" t="s">
        <v>1538</v>
      </c>
    </row>
    <row r="24" spans="1:7" ht="11.25" customHeight="1">
      <c r="A24" t="s">
        <v>16</v>
      </c>
      <c r="B24" t="s">
        <v>4847</v>
      </c>
      <c r="C24" t="s">
        <v>4848</v>
      </c>
      <c r="D24" t="s">
        <v>4847</v>
      </c>
      <c r="E24" t="s">
        <v>4848</v>
      </c>
      <c r="F24" t="s">
        <v>4806</v>
      </c>
      <c r="G24" t="s">
        <v>1546</v>
      </c>
    </row>
    <row r="25" spans="1:7" ht="11.25" customHeight="1">
      <c r="A25" t="s">
        <v>16</v>
      </c>
      <c r="B25" t="s">
        <v>4849</v>
      </c>
      <c r="C25" t="s">
        <v>4850</v>
      </c>
      <c r="D25" t="s">
        <v>4849</v>
      </c>
      <c r="E25" t="s">
        <v>4850</v>
      </c>
      <c r="F25" t="s">
        <v>4803</v>
      </c>
      <c r="G25" t="s">
        <v>1553</v>
      </c>
    </row>
    <row r="26" spans="1:7" ht="11.25" customHeight="1">
      <c r="A26" t="s">
        <v>16</v>
      </c>
      <c r="B26" t="s">
        <v>4851</v>
      </c>
      <c r="C26" t="s">
        <v>4852</v>
      </c>
      <c r="D26" t="s">
        <v>4851</v>
      </c>
      <c r="E26" t="s">
        <v>4852</v>
      </c>
      <c r="F26" t="s">
        <v>4803</v>
      </c>
      <c r="G26" t="s">
        <v>1557</v>
      </c>
    </row>
    <row r="27" spans="1:7" ht="11.25" customHeight="1">
      <c r="A27" t="s">
        <v>16</v>
      </c>
      <c r="B27" t="s">
        <v>4853</v>
      </c>
      <c r="C27" t="s">
        <v>4854</v>
      </c>
      <c r="D27" t="s">
        <v>4853</v>
      </c>
      <c r="E27" t="s">
        <v>4854</v>
      </c>
      <c r="F27" t="s">
        <v>4803</v>
      </c>
      <c r="G27" t="s">
        <v>1562</v>
      </c>
    </row>
    <row r="28" spans="1:7" ht="11.25" customHeight="1">
      <c r="A28" t="s">
        <v>16</v>
      </c>
      <c r="B28" t="s">
        <v>4855</v>
      </c>
      <c r="C28" t="s">
        <v>4856</v>
      </c>
      <c r="D28" t="s">
        <v>4855</v>
      </c>
      <c r="E28" t="s">
        <v>4856</v>
      </c>
      <c r="F28" t="s">
        <v>4806</v>
      </c>
      <c r="G28" t="s">
        <v>1570</v>
      </c>
    </row>
    <row r="29" spans="1:7" ht="11.25" customHeight="1">
      <c r="A29" t="s">
        <v>16</v>
      </c>
      <c r="B29" t="s">
        <v>4857</v>
      </c>
      <c r="C29" t="s">
        <v>4858</v>
      </c>
      <c r="D29" t="s">
        <v>4857</v>
      </c>
      <c r="E29" t="s">
        <v>4858</v>
      </c>
      <c r="F29" t="s">
        <v>4803</v>
      </c>
      <c r="G29" t="s">
        <v>1572</v>
      </c>
    </row>
    <row r="30" spans="1:7" ht="11.25" customHeight="1">
      <c r="A30" t="s">
        <v>16</v>
      </c>
      <c r="B30" t="s">
        <v>4859</v>
      </c>
      <c r="C30" t="s">
        <v>4860</v>
      </c>
      <c r="D30" t="s">
        <v>4859</v>
      </c>
      <c r="E30" t="s">
        <v>4860</v>
      </c>
      <c r="F30" t="s">
        <v>4806</v>
      </c>
      <c r="G30" t="s">
        <v>1575</v>
      </c>
    </row>
    <row r="31" spans="1:7" ht="11.25" customHeight="1">
      <c r="A31" t="s">
        <v>16</v>
      </c>
      <c r="B31" t="s">
        <v>4861</v>
      </c>
      <c r="C31" t="s">
        <v>4862</v>
      </c>
      <c r="D31" t="s">
        <v>4861</v>
      </c>
      <c r="E31" t="s">
        <v>4862</v>
      </c>
      <c r="F31" t="s">
        <v>4803</v>
      </c>
      <c r="G31" t="s">
        <v>1581</v>
      </c>
    </row>
    <row r="32" spans="1:7" ht="11.25" customHeight="1">
      <c r="A32" t="s">
        <v>16</v>
      </c>
      <c r="B32" t="s">
        <v>4863</v>
      </c>
      <c r="C32" t="s">
        <v>4864</v>
      </c>
      <c r="D32" t="s">
        <v>4863</v>
      </c>
      <c r="E32" t="s">
        <v>4864</v>
      </c>
      <c r="F32" t="s">
        <v>4806</v>
      </c>
      <c r="G32" t="s">
        <v>1583</v>
      </c>
    </row>
    <row r="33" spans="1:7" ht="11.25" customHeight="1">
      <c r="A33" t="s">
        <v>16</v>
      </c>
      <c r="B33" t="s">
        <v>4865</v>
      </c>
      <c r="C33" t="s">
        <v>4866</v>
      </c>
      <c r="D33" t="s">
        <v>4865</v>
      </c>
      <c r="E33" t="s">
        <v>4866</v>
      </c>
      <c r="F33" t="s">
        <v>4806</v>
      </c>
      <c r="G33" t="s">
        <v>1585</v>
      </c>
    </row>
    <row r="34" spans="1:7" ht="11.25" customHeight="1">
      <c r="A34" t="s">
        <v>16</v>
      </c>
      <c r="B34" t="s">
        <v>4867</v>
      </c>
      <c r="C34" t="s">
        <v>4868</v>
      </c>
      <c r="D34" t="s">
        <v>4867</v>
      </c>
      <c r="E34" t="s">
        <v>4868</v>
      </c>
      <c r="F34" t="s">
        <v>4803</v>
      </c>
      <c r="G34" t="s">
        <v>1587</v>
      </c>
    </row>
    <row r="35" spans="1:7" ht="11.25" customHeight="1">
      <c r="A35" t="s">
        <v>16</v>
      </c>
      <c r="B35" t="s">
        <v>4869</v>
      </c>
      <c r="C35" t="s">
        <v>4870</v>
      </c>
      <c r="D35" t="s">
        <v>4869</v>
      </c>
      <c r="E35" t="s">
        <v>4870</v>
      </c>
      <c r="F35" t="s">
        <v>4803</v>
      </c>
      <c r="G35" t="s">
        <v>1592</v>
      </c>
    </row>
    <row r="36" spans="1:7" ht="11.25" customHeight="1">
      <c r="A36" t="s">
        <v>16</v>
      </c>
      <c r="B36" t="s">
        <v>4871</v>
      </c>
      <c r="C36" t="s">
        <v>4872</v>
      </c>
      <c r="D36" t="s">
        <v>4871</v>
      </c>
      <c r="E36" t="s">
        <v>4872</v>
      </c>
      <c r="F36" t="s">
        <v>4803</v>
      </c>
      <c r="G36" t="s">
        <v>1597</v>
      </c>
    </row>
    <row r="37" spans="1:7" ht="11.25" customHeight="1">
      <c r="A37" t="s">
        <v>16</v>
      </c>
      <c r="B37" t="s">
        <v>4873</v>
      </c>
      <c r="C37" t="s">
        <v>4874</v>
      </c>
      <c r="D37" t="s">
        <v>4873</v>
      </c>
      <c r="E37" t="s">
        <v>4874</v>
      </c>
      <c r="F37" t="s">
        <v>4806</v>
      </c>
      <c r="G37" t="s">
        <v>1601</v>
      </c>
    </row>
    <row r="38" spans="1:7" ht="11.25" customHeight="1">
      <c r="A38" t="s">
        <v>16</v>
      </c>
      <c r="B38" t="s">
        <v>4875</v>
      </c>
      <c r="C38" t="s">
        <v>4876</v>
      </c>
      <c r="D38" t="s">
        <v>4875</v>
      </c>
      <c r="E38" t="s">
        <v>4876</v>
      </c>
      <c r="F38" t="s">
        <v>4803</v>
      </c>
      <c r="G38" t="s">
        <v>1609</v>
      </c>
    </row>
    <row r="39" spans="1:7" ht="11.25" customHeight="1">
      <c r="A39" t="s">
        <v>16</v>
      </c>
      <c r="B39" t="s">
        <v>4877</v>
      </c>
      <c r="C39" t="s">
        <v>4878</v>
      </c>
      <c r="D39" t="s">
        <v>4877</v>
      </c>
      <c r="E39" t="s">
        <v>4878</v>
      </c>
      <c r="F39" t="s">
        <v>4806</v>
      </c>
      <c r="G39" t="s">
        <v>1615</v>
      </c>
    </row>
    <row r="40" spans="1:7" ht="11.25" customHeight="1">
      <c r="A40" t="s">
        <v>16</v>
      </c>
      <c r="B40" t="s">
        <v>4879</v>
      </c>
      <c r="C40" t="s">
        <v>4880</v>
      </c>
      <c r="D40" t="s">
        <v>4879</v>
      </c>
      <c r="E40" t="s">
        <v>4880</v>
      </c>
      <c r="F40" t="s">
        <v>4803</v>
      </c>
      <c r="G40" t="s">
        <v>1620</v>
      </c>
    </row>
    <row r="41" spans="1:7" ht="11.25" customHeight="1">
      <c r="A41" t="s">
        <v>16</v>
      </c>
      <c r="B41" t="s">
        <v>4881</v>
      </c>
      <c r="C41" t="s">
        <v>4882</v>
      </c>
      <c r="D41" t="s">
        <v>4881</v>
      </c>
      <c r="E41" t="s">
        <v>4882</v>
      </c>
      <c r="F41" t="s">
        <v>4806</v>
      </c>
      <c r="G41" t="s">
        <v>1624</v>
      </c>
    </row>
    <row r="42" spans="1:7" ht="11.25" customHeight="1">
      <c r="A42" t="s">
        <v>16</v>
      </c>
      <c r="B42" t="s">
        <v>4883</v>
      </c>
      <c r="C42" t="s">
        <v>4884</v>
      </c>
      <c r="D42" t="s">
        <v>4883</v>
      </c>
      <c r="E42" t="s">
        <v>4884</v>
      </c>
      <c r="F42" t="s">
        <v>4806</v>
      </c>
      <c r="G42" t="s">
        <v>1627</v>
      </c>
    </row>
    <row r="43" spans="1:7" ht="11.25" customHeight="1">
      <c r="A43" t="s">
        <v>16</v>
      </c>
      <c r="B43" t="s">
        <v>4885</v>
      </c>
      <c r="C43" t="s">
        <v>4886</v>
      </c>
      <c r="D43" t="s">
        <v>4885</v>
      </c>
      <c r="E43" t="s">
        <v>4886</v>
      </c>
      <c r="F43" t="s">
        <v>4803</v>
      </c>
      <c r="G43" t="s">
        <v>1634</v>
      </c>
    </row>
    <row r="44" spans="1:7" ht="11.25" customHeight="1">
      <c r="A44" t="s">
        <v>16</v>
      </c>
      <c r="B44" t="s">
        <v>4887</v>
      </c>
      <c r="C44" t="s">
        <v>4888</v>
      </c>
      <c r="D44" t="s">
        <v>4887</v>
      </c>
      <c r="E44" t="s">
        <v>4888</v>
      </c>
      <c r="F44" t="s">
        <v>4803</v>
      </c>
      <c r="G44" t="s">
        <v>1643</v>
      </c>
    </row>
    <row r="45" spans="1:7" ht="11.25" customHeight="1">
      <c r="A45" t="s">
        <v>16</v>
      </c>
      <c r="B45" t="s">
        <v>4889</v>
      </c>
      <c r="C45" t="s">
        <v>4890</v>
      </c>
      <c r="D45" t="s">
        <v>4889</v>
      </c>
      <c r="E45" t="s">
        <v>4890</v>
      </c>
      <c r="F45" t="s">
        <v>4806</v>
      </c>
      <c r="G45" t="s">
        <v>1648</v>
      </c>
    </row>
    <row r="46" spans="1:7" ht="11.25" customHeight="1">
      <c r="A46" t="s">
        <v>16</v>
      </c>
      <c r="B46" t="s">
        <v>4891</v>
      </c>
      <c r="C46" t="s">
        <v>4892</v>
      </c>
      <c r="D46" t="s">
        <v>4891</v>
      </c>
      <c r="E46" t="s">
        <v>4892</v>
      </c>
      <c r="F46" t="s">
        <v>4803</v>
      </c>
      <c r="G46" t="s">
        <v>1652</v>
      </c>
    </row>
    <row r="47" spans="1:7" ht="11.25" customHeight="1">
      <c r="A47" t="s">
        <v>16</v>
      </c>
      <c r="B47" t="s">
        <v>4893</v>
      </c>
      <c r="C47" t="s">
        <v>4894</v>
      </c>
      <c r="D47" t="s">
        <v>4893</v>
      </c>
      <c r="E47" t="s">
        <v>4894</v>
      </c>
      <c r="F47" t="s">
        <v>4806</v>
      </c>
      <c r="G47" t="s">
        <v>1658</v>
      </c>
    </row>
    <row r="48" spans="1:7" ht="11.25" customHeight="1">
      <c r="A48" t="s">
        <v>16</v>
      </c>
      <c r="B48" t="s">
        <v>4895</v>
      </c>
      <c r="C48" t="s">
        <v>4896</v>
      </c>
      <c r="D48" t="s">
        <v>4895</v>
      </c>
      <c r="E48" t="s">
        <v>4896</v>
      </c>
      <c r="F48" t="s">
        <v>4803</v>
      </c>
      <c r="G48" t="s">
        <v>1663</v>
      </c>
    </row>
    <row r="49" spans="1:7" ht="11.25" customHeight="1">
      <c r="A49" t="s">
        <v>16</v>
      </c>
      <c r="B49" t="s">
        <v>4897</v>
      </c>
      <c r="C49" t="s">
        <v>4898</v>
      </c>
      <c r="D49" t="s">
        <v>4897</v>
      </c>
      <c r="E49" t="s">
        <v>4898</v>
      </c>
      <c r="F49" t="s">
        <v>4803</v>
      </c>
      <c r="G49" t="s">
        <v>1666</v>
      </c>
    </row>
    <row r="50" spans="1:7" ht="11.25" customHeight="1">
      <c r="A50" t="s">
        <v>16</v>
      </c>
      <c r="B50" t="s">
        <v>4899</v>
      </c>
      <c r="C50" t="s">
        <v>4900</v>
      </c>
      <c r="D50" t="s">
        <v>4899</v>
      </c>
      <c r="E50" t="s">
        <v>4900</v>
      </c>
      <c r="F50" t="s">
        <v>4803</v>
      </c>
      <c r="G50" t="s">
        <v>1669</v>
      </c>
    </row>
    <row r="51" spans="1:7" ht="11.25" customHeight="1">
      <c r="A51" t="s">
        <v>16</v>
      </c>
      <c r="B51" t="s">
        <v>4901</v>
      </c>
      <c r="C51" t="s">
        <v>4902</v>
      </c>
      <c r="D51" t="s">
        <v>4901</v>
      </c>
      <c r="E51" t="s">
        <v>4902</v>
      </c>
      <c r="F51" t="s">
        <v>4803</v>
      </c>
      <c r="G51" t="s">
        <v>1674</v>
      </c>
    </row>
    <row r="52" spans="1:7" ht="11.25" customHeight="1">
      <c r="A52" t="s">
        <v>16</v>
      </c>
      <c r="B52" t="s">
        <v>4903</v>
      </c>
      <c r="C52" t="s">
        <v>4904</v>
      </c>
      <c r="D52" t="s">
        <v>4903</v>
      </c>
      <c r="E52" t="s">
        <v>4904</v>
      </c>
      <c r="F52" t="s">
        <v>4806</v>
      </c>
      <c r="G52" t="s">
        <v>1678</v>
      </c>
    </row>
    <row r="53" spans="1:7" ht="11.25" customHeight="1">
      <c r="A53" t="s">
        <v>16</v>
      </c>
      <c r="B53" t="s">
        <v>4905</v>
      </c>
      <c r="C53" t="s">
        <v>4906</v>
      </c>
      <c r="D53" t="s">
        <v>4905</v>
      </c>
      <c r="E53" t="s">
        <v>4906</v>
      </c>
      <c r="F53" t="s">
        <v>4803</v>
      </c>
      <c r="G53" t="s">
        <v>1680</v>
      </c>
    </row>
    <row r="54" spans="1:7" ht="11.25" customHeight="1">
      <c r="A54" t="s">
        <v>16</v>
      </c>
      <c r="B54" t="s">
        <v>4907</v>
      </c>
      <c r="C54" t="s">
        <v>4908</v>
      </c>
      <c r="D54" t="s">
        <v>4907</v>
      </c>
      <c r="E54" t="s">
        <v>4908</v>
      </c>
      <c r="F54" t="s">
        <v>4806</v>
      </c>
      <c r="G54" t="s">
        <v>1683</v>
      </c>
    </row>
    <row r="55" spans="1:7" ht="11.25" customHeight="1">
      <c r="A55" t="s">
        <v>16</v>
      </c>
      <c r="B55" t="s">
        <v>4909</v>
      </c>
      <c r="C55" t="s">
        <v>4910</v>
      </c>
      <c r="D55" t="s">
        <v>4909</v>
      </c>
      <c r="E55" t="s">
        <v>4910</v>
      </c>
      <c r="F55" t="s">
        <v>4803</v>
      </c>
      <c r="G55" t="s">
        <v>1687</v>
      </c>
    </row>
    <row r="56" spans="1:7" ht="11.25" customHeight="1">
      <c r="A56" t="s">
        <v>16</v>
      </c>
      <c r="B56" t="s">
        <v>4911</v>
      </c>
      <c r="C56" t="s">
        <v>4912</v>
      </c>
      <c r="D56" t="s">
        <v>4911</v>
      </c>
      <c r="E56" t="s">
        <v>4912</v>
      </c>
      <c r="F56" t="s">
        <v>4806</v>
      </c>
      <c r="G56" t="s">
        <v>1690</v>
      </c>
    </row>
    <row r="57" spans="1:7" ht="11.25" customHeight="1">
      <c r="A57" t="s">
        <v>16</v>
      </c>
      <c r="B57" t="s">
        <v>4913</v>
      </c>
      <c r="C57" t="s">
        <v>4914</v>
      </c>
      <c r="D57" t="s">
        <v>4913</v>
      </c>
      <c r="E57" t="s">
        <v>4914</v>
      </c>
      <c r="F57" t="s">
        <v>4803</v>
      </c>
      <c r="G57" t="s">
        <v>1693</v>
      </c>
    </row>
    <row r="58" spans="1:7" ht="11.25" customHeight="1">
      <c r="A58" t="s">
        <v>16</v>
      </c>
      <c r="B58" t="s">
        <v>4915</v>
      </c>
      <c r="C58" t="s">
        <v>4916</v>
      </c>
      <c r="D58" t="s">
        <v>4915</v>
      </c>
      <c r="E58" t="s">
        <v>4916</v>
      </c>
      <c r="F58" t="s">
        <v>4806</v>
      </c>
      <c r="G58" t="s">
        <v>1696</v>
      </c>
    </row>
    <row r="59" spans="1:7" ht="11.25" customHeight="1">
      <c r="A59" t="s">
        <v>16</v>
      </c>
      <c r="B59" t="s">
        <v>4917</v>
      </c>
      <c r="C59" t="s">
        <v>4918</v>
      </c>
      <c r="D59" t="s">
        <v>4919</v>
      </c>
      <c r="E59" t="s">
        <v>4920</v>
      </c>
      <c r="F59" t="s">
        <v>4921</v>
      </c>
      <c r="G59" t="s">
        <v>1700</v>
      </c>
    </row>
    <row r="60" spans="1:7" ht="11.25" customHeight="1">
      <c r="A60" t="s">
        <v>16</v>
      </c>
      <c r="B60" t="s">
        <v>4917</v>
      </c>
      <c r="C60" t="s">
        <v>4918</v>
      </c>
      <c r="D60" t="s">
        <v>4922</v>
      </c>
      <c r="E60" t="s">
        <v>4923</v>
      </c>
      <c r="F60" t="s">
        <v>4827</v>
      </c>
      <c r="G60" t="s">
        <v>1703</v>
      </c>
    </row>
    <row r="61" spans="1:7" ht="11.25" customHeight="1">
      <c r="A61" t="s">
        <v>16</v>
      </c>
      <c r="B61" t="s">
        <v>4917</v>
      </c>
      <c r="C61" t="s">
        <v>4918</v>
      </c>
      <c r="D61" t="s">
        <v>4924</v>
      </c>
      <c r="E61" t="s">
        <v>4925</v>
      </c>
      <c r="F61" t="s">
        <v>4926</v>
      </c>
      <c r="G61" t="s">
        <v>4927</v>
      </c>
    </row>
    <row r="62" spans="1:7" ht="11.25" customHeight="1">
      <c r="A62" t="s">
        <v>16</v>
      </c>
      <c r="B62" t="s">
        <v>4917</v>
      </c>
      <c r="C62" t="s">
        <v>4918</v>
      </c>
      <c r="D62" t="s">
        <v>4917</v>
      </c>
      <c r="E62" t="s">
        <v>4918</v>
      </c>
      <c r="F62" t="s">
        <v>4828</v>
      </c>
      <c r="G62" t="s">
        <v>4928</v>
      </c>
    </row>
    <row r="63" spans="1:7" ht="11.25" customHeight="1">
      <c r="A63" t="s">
        <v>16</v>
      </c>
      <c r="B63" t="s">
        <v>4917</v>
      </c>
      <c r="C63" t="s">
        <v>4918</v>
      </c>
      <c r="D63" t="s">
        <v>4929</v>
      </c>
      <c r="E63" t="s">
        <v>4930</v>
      </c>
      <c r="F63" t="s">
        <v>4926</v>
      </c>
      <c r="G63" t="s">
        <v>4931</v>
      </c>
    </row>
    <row r="64" spans="1:7" ht="11.25" customHeight="1">
      <c r="A64" t="s">
        <v>16</v>
      </c>
      <c r="B64" t="s">
        <v>4917</v>
      </c>
      <c r="C64" t="s">
        <v>4918</v>
      </c>
      <c r="D64" t="s">
        <v>4932</v>
      </c>
      <c r="E64" t="s">
        <v>4933</v>
      </c>
      <c r="F64" t="s">
        <v>4921</v>
      </c>
      <c r="G64" t="s">
        <v>4934</v>
      </c>
    </row>
    <row r="65" spans="1:7" ht="11.25" customHeight="1">
      <c r="A65" t="s">
        <v>16</v>
      </c>
      <c r="B65" t="s">
        <v>4917</v>
      </c>
      <c r="C65" t="s">
        <v>4918</v>
      </c>
      <c r="D65" t="s">
        <v>4935</v>
      </c>
      <c r="E65" t="s">
        <v>4936</v>
      </c>
      <c r="F65" t="s">
        <v>4921</v>
      </c>
      <c r="G65" t="s">
        <v>4937</v>
      </c>
    </row>
    <row r="66" spans="1:7" ht="11.25" customHeight="1">
      <c r="A66" t="s">
        <v>16</v>
      </c>
      <c r="B66" t="s">
        <v>4938</v>
      </c>
      <c r="C66" t="s">
        <v>4939</v>
      </c>
      <c r="D66" t="s">
        <v>4938</v>
      </c>
      <c r="E66" t="s">
        <v>4939</v>
      </c>
      <c r="F66" t="s">
        <v>4803</v>
      </c>
      <c r="G66" t="s">
        <v>4940</v>
      </c>
    </row>
    <row r="67" spans="1:7" ht="11.25" customHeight="1">
      <c r="A67" t="s">
        <v>16</v>
      </c>
      <c r="B67" t="s">
        <v>4941</v>
      </c>
      <c r="C67" t="s">
        <v>4942</v>
      </c>
      <c r="D67" t="s">
        <v>4941</v>
      </c>
      <c r="E67" t="s">
        <v>4942</v>
      </c>
      <c r="F67" t="s">
        <v>4806</v>
      </c>
      <c r="G67" t="s">
        <v>2020</v>
      </c>
    </row>
    <row r="68" spans="1:7" ht="11.25" customHeight="1">
      <c r="A68" t="s">
        <v>16</v>
      </c>
      <c r="B68" t="s">
        <v>4943</v>
      </c>
      <c r="C68" t="s">
        <v>4944</v>
      </c>
      <c r="D68" t="s">
        <v>4943</v>
      </c>
      <c r="E68" t="s">
        <v>4944</v>
      </c>
      <c r="F68" t="s">
        <v>4803</v>
      </c>
      <c r="G68" t="s">
        <v>4945</v>
      </c>
    </row>
    <row r="69" spans="1:7" ht="11.25" customHeight="1">
      <c r="A69" t="s">
        <v>16</v>
      </c>
      <c r="B69" t="s">
        <v>4946</v>
      </c>
      <c r="C69" t="s">
        <v>4947</v>
      </c>
      <c r="D69" t="s">
        <v>4946</v>
      </c>
      <c r="E69" t="s">
        <v>4947</v>
      </c>
      <c r="F69" t="s">
        <v>4803</v>
      </c>
      <c r="G69" t="s">
        <v>2223</v>
      </c>
    </row>
    <row r="70" spans="1:7" ht="11.25" customHeight="1">
      <c r="A70" t="s">
        <v>16</v>
      </c>
      <c r="B70" t="s">
        <v>4948</v>
      </c>
      <c r="C70" t="s">
        <v>4949</v>
      </c>
      <c r="D70" t="s">
        <v>4948</v>
      </c>
      <c r="E70" t="s">
        <v>4949</v>
      </c>
      <c r="F70" t="s">
        <v>4806</v>
      </c>
      <c r="G70" t="s">
        <v>4950</v>
      </c>
    </row>
    <row r="71" spans="1:7" ht="11.25" customHeight="1">
      <c r="A71" t="s">
        <v>16</v>
      </c>
      <c r="B71" t="s">
        <v>4951</v>
      </c>
      <c r="C71" t="s">
        <v>4952</v>
      </c>
      <c r="D71" t="s">
        <v>4951</v>
      </c>
      <c r="E71" t="s">
        <v>4952</v>
      </c>
      <c r="F71" t="s">
        <v>4806</v>
      </c>
      <c r="G71" t="s">
        <v>4953</v>
      </c>
    </row>
    <row r="72" spans="1:7" ht="11.25" customHeight="1">
      <c r="A72" t="s">
        <v>16</v>
      </c>
      <c r="B72" t="s">
        <v>4954</v>
      </c>
      <c r="C72" t="s">
        <v>4955</v>
      </c>
      <c r="D72" t="s">
        <v>4954</v>
      </c>
      <c r="E72" t="s">
        <v>4955</v>
      </c>
      <c r="F72" t="s">
        <v>4803</v>
      </c>
      <c r="G72" t="s">
        <v>4956</v>
      </c>
    </row>
    <row r="73" spans="1:7" ht="11.25" customHeight="1">
      <c r="A73" t="s">
        <v>16</v>
      </c>
      <c r="B73" t="s">
        <v>4957</v>
      </c>
      <c r="C73" t="s">
        <v>4958</v>
      </c>
      <c r="D73" t="s">
        <v>4957</v>
      </c>
      <c r="E73" t="s">
        <v>4958</v>
      </c>
      <c r="F73" t="s">
        <v>4803</v>
      </c>
      <c r="G73" t="s">
        <v>4959</v>
      </c>
    </row>
    <row r="74" spans="1:7" ht="11.25" customHeight="1">
      <c r="A74" t="s">
        <v>16</v>
      </c>
      <c r="B74" t="s">
        <v>4960</v>
      </c>
      <c r="C74" t="s">
        <v>4961</v>
      </c>
      <c r="D74" t="s">
        <v>4960</v>
      </c>
      <c r="E74" t="s">
        <v>4961</v>
      </c>
      <c r="F74" t="s">
        <v>4803</v>
      </c>
      <c r="G74" t="s">
        <v>4962</v>
      </c>
    </row>
    <row r="75" spans="1:7" ht="11.25" customHeight="1">
      <c r="A75" t="s">
        <v>16</v>
      </c>
      <c r="B75" t="s">
        <v>4963</v>
      </c>
      <c r="C75" t="s">
        <v>4964</v>
      </c>
      <c r="D75" t="s">
        <v>4963</v>
      </c>
      <c r="E75" t="s">
        <v>4964</v>
      </c>
      <c r="F75" t="s">
        <v>4806</v>
      </c>
      <c r="G75" t="s">
        <v>4965</v>
      </c>
    </row>
    <row r="76" spans="1:7" ht="11.25" customHeight="1">
      <c r="A76" t="s">
        <v>16</v>
      </c>
      <c r="B76" t="s">
        <v>4966</v>
      </c>
      <c r="C76" t="s">
        <v>4967</v>
      </c>
      <c r="D76" t="s">
        <v>4966</v>
      </c>
      <c r="E76" t="s">
        <v>4967</v>
      </c>
      <c r="F76" t="s">
        <v>4803</v>
      </c>
      <c r="G76" t="s">
        <v>4968</v>
      </c>
    </row>
    <row r="77" spans="1:7" ht="11.25" customHeight="1">
      <c r="A77" t="s">
        <v>16</v>
      </c>
      <c r="B77" t="s">
        <v>4969</v>
      </c>
      <c r="C77" t="s">
        <v>4970</v>
      </c>
      <c r="D77" t="s">
        <v>4969</v>
      </c>
      <c r="E77" t="s">
        <v>4970</v>
      </c>
      <c r="F77" t="s">
        <v>4806</v>
      </c>
      <c r="G77" t="s">
        <v>4971</v>
      </c>
    </row>
    <row r="78" spans="1:7" ht="11.25" customHeight="1">
      <c r="A78" t="s">
        <v>16</v>
      </c>
      <c r="B78" t="s">
        <v>4972</v>
      </c>
      <c r="C78" t="s">
        <v>4973</v>
      </c>
      <c r="D78" t="s">
        <v>4972</v>
      </c>
      <c r="E78" t="s">
        <v>4973</v>
      </c>
      <c r="F78" t="s">
        <v>4803</v>
      </c>
      <c r="G78" t="s">
        <v>4974</v>
      </c>
    </row>
    <row r="79" spans="1:7" ht="11.25" customHeight="1">
      <c r="A79" t="s">
        <v>16</v>
      </c>
      <c r="B79" t="s">
        <v>4975</v>
      </c>
      <c r="C79" t="s">
        <v>4976</v>
      </c>
      <c r="D79" t="s">
        <v>4975</v>
      </c>
      <c r="E79" t="s">
        <v>4976</v>
      </c>
      <c r="F79" t="s">
        <v>4803</v>
      </c>
      <c r="G79" t="s">
        <v>4977</v>
      </c>
    </row>
    <row r="80" spans="1:7" ht="11.25" customHeight="1">
      <c r="A80" t="s">
        <v>16</v>
      </c>
      <c r="B80" t="s">
        <v>4978</v>
      </c>
      <c r="C80" t="s">
        <v>4979</v>
      </c>
      <c r="D80" t="s">
        <v>4978</v>
      </c>
      <c r="E80" t="s">
        <v>4979</v>
      </c>
      <c r="F80" t="s">
        <v>4806</v>
      </c>
      <c r="G80" t="s">
        <v>4980</v>
      </c>
    </row>
    <row r="81" spans="1:7" ht="11.25" customHeight="1">
      <c r="A81" t="s">
        <v>16</v>
      </c>
      <c r="B81" t="s">
        <v>4981</v>
      </c>
      <c r="C81" t="s">
        <v>4982</v>
      </c>
      <c r="D81" t="s">
        <v>4981</v>
      </c>
      <c r="E81" t="s">
        <v>4982</v>
      </c>
      <c r="F81" t="s">
        <v>4803</v>
      </c>
      <c r="G81" t="s">
        <v>4983</v>
      </c>
    </row>
    <row r="82" spans="1:7" ht="11.25" customHeight="1">
      <c r="A82" t="s">
        <v>16</v>
      </c>
      <c r="B82" t="s">
        <v>4984</v>
      </c>
      <c r="C82" t="s">
        <v>4985</v>
      </c>
      <c r="D82" t="s">
        <v>4984</v>
      </c>
      <c r="E82" t="s">
        <v>4985</v>
      </c>
      <c r="F82" t="s">
        <v>4806</v>
      </c>
      <c r="G82" t="s">
        <v>4986</v>
      </c>
    </row>
    <row r="83" spans="1:7" ht="11.25" customHeight="1">
      <c r="A83" t="s">
        <v>16</v>
      </c>
      <c r="B83" t="s">
        <v>4987</v>
      </c>
      <c r="C83" t="s">
        <v>4988</v>
      </c>
      <c r="D83" t="s">
        <v>4987</v>
      </c>
      <c r="E83" t="s">
        <v>4988</v>
      </c>
      <c r="F83" t="s">
        <v>4803</v>
      </c>
      <c r="G83" t="s">
        <v>4989</v>
      </c>
    </row>
    <row r="84" spans="1:7" ht="11.25" customHeight="1">
      <c r="A84" t="s">
        <v>16</v>
      </c>
      <c r="B84" t="s">
        <v>4990</v>
      </c>
      <c r="C84" t="s">
        <v>4991</v>
      </c>
      <c r="D84" t="s">
        <v>4990</v>
      </c>
      <c r="E84" t="s">
        <v>4991</v>
      </c>
      <c r="F84" t="s">
        <v>4806</v>
      </c>
      <c r="G84" t="s">
        <v>4992</v>
      </c>
    </row>
    <row r="85" spans="1:7" ht="11.25" customHeight="1">
      <c r="A85" t="s">
        <v>16</v>
      </c>
      <c r="B85" t="s">
        <v>4993</v>
      </c>
      <c r="C85" t="s">
        <v>4994</v>
      </c>
      <c r="D85" t="s">
        <v>4995</v>
      </c>
      <c r="E85" t="s">
        <v>4996</v>
      </c>
      <c r="F85" t="s">
        <v>4827</v>
      </c>
      <c r="G85" t="s">
        <v>4997</v>
      </c>
    </row>
    <row r="86" spans="1:7" ht="11.25" customHeight="1">
      <c r="A86" t="s">
        <v>16</v>
      </c>
      <c r="B86" t="s">
        <v>4993</v>
      </c>
      <c r="C86" t="s">
        <v>4994</v>
      </c>
      <c r="D86" t="s">
        <v>4998</v>
      </c>
      <c r="E86" t="s">
        <v>4999</v>
      </c>
      <c r="F86" t="s">
        <v>4827</v>
      </c>
      <c r="G86" t="s">
        <v>5000</v>
      </c>
    </row>
    <row r="87" spans="1:7" ht="11.25" customHeight="1">
      <c r="A87" t="s">
        <v>16</v>
      </c>
      <c r="B87" t="s">
        <v>4993</v>
      </c>
      <c r="C87" t="s">
        <v>4994</v>
      </c>
      <c r="D87" t="s">
        <v>4993</v>
      </c>
      <c r="E87" t="s">
        <v>4994</v>
      </c>
      <c r="F87" t="s">
        <v>4828</v>
      </c>
      <c r="G87" t="s">
        <v>5001</v>
      </c>
    </row>
    <row r="88" spans="1:7" ht="11.25" customHeight="1">
      <c r="A88" t="s">
        <v>16</v>
      </c>
      <c r="B88" t="s">
        <v>4993</v>
      </c>
      <c r="C88" t="s">
        <v>4994</v>
      </c>
      <c r="D88" t="s">
        <v>5002</v>
      </c>
      <c r="E88" t="s">
        <v>5003</v>
      </c>
      <c r="F88" t="s">
        <v>4827</v>
      </c>
      <c r="G88" t="s">
        <v>5004</v>
      </c>
    </row>
    <row r="89" spans="1:7" ht="11.25" customHeight="1">
      <c r="A89" t="s">
        <v>16</v>
      </c>
      <c r="B89" t="s">
        <v>4993</v>
      </c>
      <c r="C89" t="s">
        <v>4994</v>
      </c>
      <c r="D89" t="s">
        <v>5005</v>
      </c>
      <c r="E89" t="s">
        <v>5006</v>
      </c>
      <c r="F89" t="s">
        <v>4827</v>
      </c>
      <c r="G89" t="s">
        <v>5007</v>
      </c>
    </row>
    <row r="90" spans="1:7" ht="11.25" customHeight="1">
      <c r="A90" t="s">
        <v>16</v>
      </c>
      <c r="B90" t="s">
        <v>5008</v>
      </c>
      <c r="C90" t="s">
        <v>5009</v>
      </c>
      <c r="D90" t="s">
        <v>5008</v>
      </c>
      <c r="E90" t="s">
        <v>5009</v>
      </c>
      <c r="F90" t="s">
        <v>4803</v>
      </c>
      <c r="G90" t="s">
        <v>5010</v>
      </c>
    </row>
    <row r="91" spans="1:7" ht="11.25" customHeight="1">
      <c r="A91" t="s">
        <v>16</v>
      </c>
      <c r="B91" t="s">
        <v>5011</v>
      </c>
      <c r="C91" t="s">
        <v>5012</v>
      </c>
      <c r="D91" t="s">
        <v>5011</v>
      </c>
      <c r="E91" t="s">
        <v>5012</v>
      </c>
      <c r="F91" t="s">
        <v>4806</v>
      </c>
      <c r="G91" t="s">
        <v>5013</v>
      </c>
    </row>
    <row r="92" spans="1:7" ht="11.25" customHeight="1">
      <c r="A92" t="s">
        <v>16</v>
      </c>
      <c r="B92" t="s">
        <v>5014</v>
      </c>
      <c r="C92" t="s">
        <v>5015</v>
      </c>
      <c r="D92" t="s">
        <v>5014</v>
      </c>
      <c r="E92" t="s">
        <v>5015</v>
      </c>
      <c r="F92" t="s">
        <v>4803</v>
      </c>
      <c r="G92" t="s">
        <v>5016</v>
      </c>
    </row>
    <row r="93" spans="1:7" ht="11.25" customHeight="1">
      <c r="A93" t="s">
        <v>16</v>
      </c>
      <c r="B93" t="s">
        <v>5017</v>
      </c>
      <c r="C93" t="s">
        <v>5018</v>
      </c>
      <c r="D93" t="s">
        <v>5017</v>
      </c>
      <c r="E93" t="s">
        <v>5018</v>
      </c>
      <c r="F93" t="s">
        <v>4803</v>
      </c>
      <c r="G93" t="s">
        <v>5019</v>
      </c>
    </row>
    <row r="94" spans="1:7" ht="11.25" customHeight="1">
      <c r="A94" t="s">
        <v>16</v>
      </c>
      <c r="B94" t="s">
        <v>5020</v>
      </c>
      <c r="C94" t="s">
        <v>5021</v>
      </c>
      <c r="D94" t="s">
        <v>5020</v>
      </c>
      <c r="E94" t="s">
        <v>5021</v>
      </c>
      <c r="F94" t="s">
        <v>4803</v>
      </c>
      <c r="G94" t="s">
        <v>5022</v>
      </c>
    </row>
    <row r="95" spans="1:7" ht="11.25" customHeight="1">
      <c r="A95" t="s">
        <v>16</v>
      </c>
      <c r="B95" t="s">
        <v>5023</v>
      </c>
      <c r="C95" t="s">
        <v>5024</v>
      </c>
      <c r="D95" t="s">
        <v>5023</v>
      </c>
      <c r="E95" t="s">
        <v>5024</v>
      </c>
      <c r="F95" t="s">
        <v>4803</v>
      </c>
      <c r="G95" t="s">
        <v>5025</v>
      </c>
    </row>
    <row r="96" spans="1:7" ht="11.25" customHeight="1">
      <c r="A96" t="s">
        <v>16</v>
      </c>
      <c r="B96" t="s">
        <v>5026</v>
      </c>
      <c r="C96" t="s">
        <v>5027</v>
      </c>
      <c r="D96" t="s">
        <v>5026</v>
      </c>
      <c r="E96" t="s">
        <v>5027</v>
      </c>
      <c r="F96" t="s">
        <v>4806</v>
      </c>
      <c r="G96" t="s">
        <v>5028</v>
      </c>
    </row>
    <row r="97" spans="1:7" ht="11.25" customHeight="1">
      <c r="A97" t="s">
        <v>16</v>
      </c>
      <c r="B97" t="s">
        <v>5029</v>
      </c>
      <c r="C97" t="s">
        <v>5030</v>
      </c>
      <c r="D97" t="s">
        <v>5031</v>
      </c>
      <c r="E97" t="s">
        <v>5032</v>
      </c>
      <c r="F97" t="s">
        <v>4827</v>
      </c>
      <c r="G97" t="s">
        <v>5033</v>
      </c>
    </row>
    <row r="98" spans="1:7" ht="11.25" customHeight="1">
      <c r="A98" t="s">
        <v>16</v>
      </c>
      <c r="B98" t="s">
        <v>5029</v>
      </c>
      <c r="C98" t="s">
        <v>5030</v>
      </c>
      <c r="D98" t="s">
        <v>5034</v>
      </c>
      <c r="E98" t="s">
        <v>5035</v>
      </c>
      <c r="F98" t="s">
        <v>5036</v>
      </c>
      <c r="G98" t="s">
        <v>5037</v>
      </c>
    </row>
    <row r="99" spans="1:7" ht="11.25" customHeight="1">
      <c r="A99" t="s">
        <v>16</v>
      </c>
      <c r="B99" t="s">
        <v>5029</v>
      </c>
      <c r="C99" t="s">
        <v>5030</v>
      </c>
      <c r="D99" t="s">
        <v>5029</v>
      </c>
      <c r="E99" t="s">
        <v>5030</v>
      </c>
      <c r="F99" t="s">
        <v>4828</v>
      </c>
      <c r="G99" t="s">
        <v>5038</v>
      </c>
    </row>
    <row r="100" spans="1:7" ht="11.25" customHeight="1">
      <c r="A100" t="s">
        <v>16</v>
      </c>
      <c r="B100" t="s">
        <v>5029</v>
      </c>
      <c r="C100" t="s">
        <v>5030</v>
      </c>
      <c r="D100" t="s">
        <v>5039</v>
      </c>
      <c r="E100" t="s">
        <v>5040</v>
      </c>
      <c r="F100" t="s">
        <v>4827</v>
      </c>
      <c r="G100" t="s">
        <v>5041</v>
      </c>
    </row>
    <row r="101" spans="1:7" ht="11.25" customHeight="1">
      <c r="A101" t="s">
        <v>16</v>
      </c>
      <c r="B101" t="s">
        <v>5029</v>
      </c>
      <c r="C101" t="s">
        <v>5030</v>
      </c>
      <c r="D101" t="s">
        <v>5042</v>
      </c>
      <c r="E101" t="s">
        <v>5043</v>
      </c>
      <c r="F101" t="s">
        <v>4827</v>
      </c>
      <c r="G101" t="s">
        <v>5044</v>
      </c>
    </row>
    <row r="102" spans="1:7" ht="11.25" customHeight="1">
      <c r="A102" t="s">
        <v>16</v>
      </c>
      <c r="B102" t="s">
        <v>5045</v>
      </c>
      <c r="C102" t="s">
        <v>5046</v>
      </c>
      <c r="D102" t="s">
        <v>5045</v>
      </c>
      <c r="E102" t="s">
        <v>5046</v>
      </c>
      <c r="F102" t="s">
        <v>4803</v>
      </c>
      <c r="G102" t="s">
        <v>5047</v>
      </c>
    </row>
    <row r="103" spans="1:7" ht="11.25" customHeight="1">
      <c r="A103" t="s">
        <v>16</v>
      </c>
      <c r="B103" t="s">
        <v>5048</v>
      </c>
      <c r="C103" t="s">
        <v>5049</v>
      </c>
      <c r="D103" t="s">
        <v>5048</v>
      </c>
      <c r="E103" t="s">
        <v>5049</v>
      </c>
      <c r="F103" t="s">
        <v>4806</v>
      </c>
      <c r="G103" t="s">
        <v>5050</v>
      </c>
    </row>
    <row r="104" spans="1:7" ht="11.25" customHeight="1">
      <c r="A104" t="s">
        <v>16</v>
      </c>
      <c r="B104" t="s">
        <v>5051</v>
      </c>
      <c r="C104" t="s">
        <v>5052</v>
      </c>
      <c r="D104" t="s">
        <v>5051</v>
      </c>
      <c r="E104" t="s">
        <v>5052</v>
      </c>
      <c r="F104" t="s">
        <v>4803</v>
      </c>
      <c r="G104" t="s">
        <v>5053</v>
      </c>
    </row>
    <row r="105" spans="1:7" ht="11.25" customHeight="1">
      <c r="A105" t="s">
        <v>16</v>
      </c>
      <c r="B105" t="s">
        <v>5054</v>
      </c>
      <c r="C105" t="s">
        <v>5055</v>
      </c>
      <c r="D105" t="s">
        <v>5054</v>
      </c>
      <c r="E105" t="s">
        <v>5055</v>
      </c>
      <c r="F105" t="s">
        <v>4806</v>
      </c>
      <c r="G105" t="s">
        <v>5056</v>
      </c>
    </row>
    <row r="106" spans="1:7" ht="11.25" customHeight="1">
      <c r="A106" t="s">
        <v>16</v>
      </c>
      <c r="B106" t="s">
        <v>5057</v>
      </c>
      <c r="C106" t="s">
        <v>5058</v>
      </c>
      <c r="D106" t="s">
        <v>5057</v>
      </c>
      <c r="E106" t="s">
        <v>5058</v>
      </c>
      <c r="F106" t="s">
        <v>4803</v>
      </c>
      <c r="G106" t="s">
        <v>5059</v>
      </c>
    </row>
    <row r="107" spans="1:7" ht="11.25" customHeight="1">
      <c r="A107" t="s">
        <v>16</v>
      </c>
      <c r="B107" t="s">
        <v>5060</v>
      </c>
      <c r="C107" t="s">
        <v>5061</v>
      </c>
      <c r="D107" t="s">
        <v>5060</v>
      </c>
      <c r="E107" t="s">
        <v>5061</v>
      </c>
      <c r="F107" t="s">
        <v>4806</v>
      </c>
      <c r="G107" t="s">
        <v>5062</v>
      </c>
    </row>
    <row r="108" spans="1:7" ht="11.25" customHeight="1">
      <c r="A108" t="s">
        <v>16</v>
      </c>
      <c r="B108" t="s">
        <v>5063</v>
      </c>
      <c r="C108" t="s">
        <v>5064</v>
      </c>
      <c r="D108" t="s">
        <v>5063</v>
      </c>
      <c r="E108" t="s">
        <v>5064</v>
      </c>
      <c r="F108" t="s">
        <v>4803</v>
      </c>
      <c r="G108" t="s">
        <v>5065</v>
      </c>
    </row>
    <row r="109" spans="1:7" ht="11.25" customHeight="1">
      <c r="A109" t="s">
        <v>16</v>
      </c>
      <c r="B109" t="s">
        <v>5066</v>
      </c>
      <c r="C109" t="s">
        <v>5067</v>
      </c>
      <c r="D109" t="s">
        <v>5066</v>
      </c>
      <c r="E109" t="s">
        <v>5067</v>
      </c>
      <c r="F109" t="s">
        <v>4806</v>
      </c>
      <c r="G109" t="s">
        <v>5068</v>
      </c>
    </row>
    <row r="110" spans="1:7" ht="11.25" customHeight="1">
      <c r="A110" t="s">
        <v>16</v>
      </c>
      <c r="B110" t="s">
        <v>5069</v>
      </c>
      <c r="C110" t="s">
        <v>5070</v>
      </c>
      <c r="D110" t="s">
        <v>5069</v>
      </c>
      <c r="E110" t="s">
        <v>5070</v>
      </c>
      <c r="F110" t="s">
        <v>4803</v>
      </c>
      <c r="G110" t="s">
        <v>5071</v>
      </c>
    </row>
    <row r="111" spans="1:7" ht="11.25" customHeight="1">
      <c r="A111" t="s">
        <v>16</v>
      </c>
      <c r="B111" t="s">
        <v>5072</v>
      </c>
      <c r="C111" t="s">
        <v>5073</v>
      </c>
      <c r="D111" t="s">
        <v>5072</v>
      </c>
      <c r="E111" t="s">
        <v>5073</v>
      </c>
      <c r="F111" t="s">
        <v>4806</v>
      </c>
      <c r="G111" t="s">
        <v>5074</v>
      </c>
    </row>
    <row r="112" spans="1:7" ht="11.25" customHeight="1">
      <c r="A112" t="s">
        <v>16</v>
      </c>
      <c r="B112" t="s">
        <v>5075</v>
      </c>
      <c r="C112" t="s">
        <v>5076</v>
      </c>
      <c r="D112" t="s">
        <v>5075</v>
      </c>
      <c r="E112" t="s">
        <v>5076</v>
      </c>
      <c r="F112" t="s">
        <v>4803</v>
      </c>
      <c r="G112" t="s">
        <v>5077</v>
      </c>
    </row>
    <row r="113" spans="1:7" ht="11.25" customHeight="1">
      <c r="A113" t="s">
        <v>16</v>
      </c>
      <c r="B113" t="s">
        <v>5078</v>
      </c>
      <c r="C113" t="s">
        <v>5079</v>
      </c>
      <c r="D113" t="s">
        <v>5078</v>
      </c>
      <c r="E113" t="s">
        <v>5079</v>
      </c>
      <c r="F113" t="s">
        <v>4806</v>
      </c>
      <c r="G113" t="s">
        <v>5080</v>
      </c>
    </row>
    <row r="114" spans="1:7" ht="11.25" customHeight="1">
      <c r="A114" t="s">
        <v>16</v>
      </c>
      <c r="B114" t="s">
        <v>5081</v>
      </c>
      <c r="C114" t="s">
        <v>5082</v>
      </c>
      <c r="D114" t="s">
        <v>5081</v>
      </c>
      <c r="E114" t="s">
        <v>5082</v>
      </c>
      <c r="F114" t="s">
        <v>4803</v>
      </c>
      <c r="G114" t="s">
        <v>5083</v>
      </c>
    </row>
    <row r="115" spans="1:7" ht="11.25" customHeight="1">
      <c r="A115" t="s">
        <v>16</v>
      </c>
      <c r="B115" t="s">
        <v>5081</v>
      </c>
      <c r="C115" t="s">
        <v>5084</v>
      </c>
      <c r="D115" t="s">
        <v>5081</v>
      </c>
      <c r="E115" t="s">
        <v>5084</v>
      </c>
      <c r="F115" t="s">
        <v>4806</v>
      </c>
      <c r="G115" t="s">
        <v>5085</v>
      </c>
    </row>
    <row r="116" spans="1:7" ht="11.25" customHeight="1">
      <c r="A116" t="s">
        <v>16</v>
      </c>
      <c r="B116" t="s">
        <v>5086</v>
      </c>
      <c r="C116" t="s">
        <v>5087</v>
      </c>
      <c r="D116" t="s">
        <v>5086</v>
      </c>
      <c r="E116" t="s">
        <v>5087</v>
      </c>
      <c r="F116" t="s">
        <v>4806</v>
      </c>
      <c r="G116" t="s">
        <v>5088</v>
      </c>
    </row>
    <row r="117" spans="1:7" ht="11.25" customHeight="1">
      <c r="A117" t="s">
        <v>16</v>
      </c>
      <c r="B117" t="s">
        <v>5089</v>
      </c>
      <c r="C117" t="s">
        <v>5090</v>
      </c>
      <c r="D117" t="s">
        <v>5089</v>
      </c>
      <c r="E117" t="s">
        <v>5090</v>
      </c>
      <c r="F117" t="s">
        <v>4806</v>
      </c>
      <c r="G117" t="s">
        <v>5091</v>
      </c>
    </row>
    <row r="118" spans="1:7" ht="11.25" customHeight="1">
      <c r="A118" t="s">
        <v>16</v>
      </c>
      <c r="B118" t="s">
        <v>5092</v>
      </c>
      <c r="C118" t="s">
        <v>5093</v>
      </c>
      <c r="D118" t="s">
        <v>5092</v>
      </c>
      <c r="E118" t="s">
        <v>5093</v>
      </c>
      <c r="F118" t="s">
        <v>4806</v>
      </c>
      <c r="G118" t="s">
        <v>5094</v>
      </c>
    </row>
    <row r="119" spans="1:7" ht="11.25" customHeight="1">
      <c r="A119" t="s">
        <v>16</v>
      </c>
      <c r="B119" t="s">
        <v>5095</v>
      </c>
      <c r="C119" t="s">
        <v>5096</v>
      </c>
      <c r="D119" t="s">
        <v>5095</v>
      </c>
      <c r="E119" t="s">
        <v>5096</v>
      </c>
      <c r="F119" t="s">
        <v>4806</v>
      </c>
      <c r="G119" t="s">
        <v>5097</v>
      </c>
    </row>
    <row r="120" spans="1:7" ht="11.25" customHeight="1">
      <c r="A120" t="s">
        <v>16</v>
      </c>
      <c r="B120" t="s">
        <v>5098</v>
      </c>
      <c r="C120" t="s">
        <v>5099</v>
      </c>
      <c r="D120" t="s">
        <v>5098</v>
      </c>
      <c r="E120" t="s">
        <v>5099</v>
      </c>
      <c r="F120" t="s">
        <v>4806</v>
      </c>
      <c r="G120" t="s">
        <v>5100</v>
      </c>
    </row>
    <row r="121" spans="1:7" ht="11.25" customHeight="1">
      <c r="A121" t="s">
        <v>16</v>
      </c>
      <c r="B121" t="s">
        <v>5101</v>
      </c>
      <c r="C121" t="s">
        <v>5102</v>
      </c>
      <c r="D121" t="s">
        <v>5101</v>
      </c>
      <c r="E121" t="s">
        <v>5102</v>
      </c>
      <c r="F121" t="s">
        <v>4806</v>
      </c>
      <c r="G121" t="s">
        <v>5103</v>
      </c>
    </row>
    <row r="122" spans="1:7" ht="11.25" customHeight="1">
      <c r="A122" t="s">
        <v>16</v>
      </c>
      <c r="B122" t="s">
        <v>5104</v>
      </c>
      <c r="C122" t="s">
        <v>5105</v>
      </c>
      <c r="D122" t="s">
        <v>5104</v>
      </c>
      <c r="E122" t="s">
        <v>5105</v>
      </c>
      <c r="F122" t="s">
        <v>4806</v>
      </c>
      <c r="G122" t="s">
        <v>5106</v>
      </c>
    </row>
    <row r="123" spans="1:7" ht="11.25" customHeight="1">
      <c r="A123" t="s">
        <v>16</v>
      </c>
      <c r="B123" t="s">
        <v>5107</v>
      </c>
      <c r="C123" t="s">
        <v>5108</v>
      </c>
      <c r="D123" t="s">
        <v>5107</v>
      </c>
      <c r="E123" t="s">
        <v>5108</v>
      </c>
      <c r="F123" t="s">
        <v>4806</v>
      </c>
      <c r="G123" t="s">
        <v>5109</v>
      </c>
    </row>
    <row r="124" spans="1:7" ht="11.25" customHeight="1">
      <c r="A124" t="s">
        <v>16</v>
      </c>
      <c r="B124" t="s">
        <v>5110</v>
      </c>
      <c r="C124" t="s">
        <v>5111</v>
      </c>
      <c r="D124" t="s">
        <v>5110</v>
      </c>
      <c r="E124" t="s">
        <v>5111</v>
      </c>
      <c r="F124" t="s">
        <v>4806</v>
      </c>
      <c r="G124" t="s">
        <v>5112</v>
      </c>
    </row>
    <row r="125" spans="1:7" ht="11.25" customHeight="1">
      <c r="A125" t="s">
        <v>16</v>
      </c>
      <c r="B125" t="s">
        <v>5113</v>
      </c>
      <c r="C125" t="s">
        <v>5114</v>
      </c>
      <c r="D125" t="s">
        <v>5113</v>
      </c>
      <c r="E125" t="s">
        <v>5114</v>
      </c>
      <c r="F125" t="s">
        <v>4806</v>
      </c>
      <c r="G125" t="s">
        <v>5115</v>
      </c>
    </row>
    <row r="126" spans="1:7" ht="11.25" customHeight="1">
      <c r="A126" t="s">
        <v>16</v>
      </c>
      <c r="B126" t="s">
        <v>5116</v>
      </c>
      <c r="C126" t="s">
        <v>5117</v>
      </c>
      <c r="D126" t="s">
        <v>5116</v>
      </c>
      <c r="E126" t="s">
        <v>5117</v>
      </c>
      <c r="F126" t="s">
        <v>4806</v>
      </c>
      <c r="G126" t="s">
        <v>5118</v>
      </c>
    </row>
    <row r="127" spans="1:7" ht="11.25" customHeight="1">
      <c r="A127" t="s">
        <v>16</v>
      </c>
      <c r="B127" t="s">
        <v>5119</v>
      </c>
      <c r="C127" t="s">
        <v>5120</v>
      </c>
      <c r="D127" t="s">
        <v>5119</v>
      </c>
      <c r="E127" t="s">
        <v>5120</v>
      </c>
      <c r="F127" t="s">
        <v>4806</v>
      </c>
      <c r="G127" t="s">
        <v>5121</v>
      </c>
    </row>
    <row r="128" spans="1:7" ht="11.25" customHeight="1">
      <c r="A128" t="s">
        <v>16</v>
      </c>
      <c r="B128" t="s">
        <v>5122</v>
      </c>
      <c r="C128" t="s">
        <v>5123</v>
      </c>
      <c r="D128" t="s">
        <v>5122</v>
      </c>
      <c r="E128" t="s">
        <v>5123</v>
      </c>
      <c r="F128" t="s">
        <v>4806</v>
      </c>
      <c r="G128" t="s">
        <v>5124</v>
      </c>
    </row>
    <row r="129" spans="1:7" ht="11.25" customHeight="1">
      <c r="A129" t="s">
        <v>16</v>
      </c>
      <c r="B129" t="s">
        <v>5125</v>
      </c>
      <c r="C129" t="s">
        <v>5126</v>
      </c>
      <c r="D129" t="s">
        <v>5125</v>
      </c>
      <c r="E129" t="s">
        <v>5126</v>
      </c>
      <c r="F129" t="s">
        <v>4806</v>
      </c>
      <c r="G129" t="s">
        <v>5127</v>
      </c>
    </row>
    <row r="130" spans="1:7" ht="11.25" customHeight="1">
      <c r="A130" t="s">
        <v>16</v>
      </c>
      <c r="B130" t="s">
        <v>5128</v>
      </c>
      <c r="C130" t="s">
        <v>5129</v>
      </c>
      <c r="D130" t="s">
        <v>5128</v>
      </c>
      <c r="E130" t="s">
        <v>5129</v>
      </c>
      <c r="F130" t="s">
        <v>4806</v>
      </c>
      <c r="G130" t="s">
        <v>5130</v>
      </c>
    </row>
    <row r="131" spans="1:7" ht="11.25" customHeight="1">
      <c r="A131" t="s">
        <v>16</v>
      </c>
      <c r="B131" t="s">
        <v>5131</v>
      </c>
      <c r="C131" t="s">
        <v>5132</v>
      </c>
      <c r="D131" t="s">
        <v>5131</v>
      </c>
      <c r="E131" t="s">
        <v>5132</v>
      </c>
      <c r="F131" t="s">
        <v>4806</v>
      </c>
      <c r="G131" t="s">
        <v>5133</v>
      </c>
    </row>
    <row r="132" spans="1:7" ht="11.25" customHeight="1">
      <c r="A132" t="s">
        <v>16</v>
      </c>
      <c r="B132" t="s">
        <v>5134</v>
      </c>
      <c r="C132" t="s">
        <v>5135</v>
      </c>
      <c r="D132" t="s">
        <v>5134</v>
      </c>
      <c r="E132" t="s">
        <v>5135</v>
      </c>
      <c r="F132" t="s">
        <v>4806</v>
      </c>
      <c r="G132" t="s">
        <v>5136</v>
      </c>
    </row>
    <row r="133" spans="1:7" ht="11.25" customHeight="1">
      <c r="A133" t="s">
        <v>16</v>
      </c>
      <c r="B133" t="s">
        <v>5137</v>
      </c>
      <c r="C133" t="s">
        <v>5138</v>
      </c>
      <c r="D133" t="s">
        <v>5137</v>
      </c>
      <c r="E133" t="s">
        <v>5138</v>
      </c>
      <c r="F133" t="s">
        <v>4806</v>
      </c>
      <c r="G133" t="s">
        <v>5139</v>
      </c>
    </row>
    <row r="134" spans="1:7" ht="11.25" customHeight="1">
      <c r="A134" t="s">
        <v>16</v>
      </c>
      <c r="B134" t="s">
        <v>5140</v>
      </c>
      <c r="C134" t="s">
        <v>5141</v>
      </c>
      <c r="D134" t="s">
        <v>5140</v>
      </c>
      <c r="E134" t="s">
        <v>5141</v>
      </c>
      <c r="F134" t="s">
        <v>4806</v>
      </c>
      <c r="G134" t="s">
        <v>5142</v>
      </c>
    </row>
    <row r="135" spans="1:7" ht="11.25" customHeight="1">
      <c r="A135" t="s">
        <v>16</v>
      </c>
      <c r="B135" t="s">
        <v>5143</v>
      </c>
      <c r="C135" t="s">
        <v>5144</v>
      </c>
      <c r="D135" t="s">
        <v>5143</v>
      </c>
      <c r="E135" t="s">
        <v>5144</v>
      </c>
      <c r="F135" t="s">
        <v>4806</v>
      </c>
      <c r="G135" t="s">
        <v>5145</v>
      </c>
    </row>
    <row r="136" spans="1:7" ht="11.25" customHeight="1">
      <c r="A136" t="s">
        <v>16</v>
      </c>
      <c r="B136" t="s">
        <v>5146</v>
      </c>
      <c r="C136" t="s">
        <v>5147</v>
      </c>
      <c r="D136" t="s">
        <v>5146</v>
      </c>
      <c r="E136" t="s">
        <v>5147</v>
      </c>
      <c r="F136" t="s">
        <v>4806</v>
      </c>
      <c r="G136" t="s">
        <v>5148</v>
      </c>
    </row>
    <row r="137" spans="1:7" ht="11.25" customHeight="1">
      <c r="A137" t="s">
        <v>16</v>
      </c>
      <c r="B137" t="s">
        <v>5149</v>
      </c>
      <c r="C137" t="s">
        <v>5150</v>
      </c>
      <c r="D137" t="s">
        <v>5149</v>
      </c>
      <c r="E137" t="s">
        <v>5150</v>
      </c>
      <c r="F137" t="s">
        <v>4806</v>
      </c>
      <c r="G137" t="s">
        <v>5151</v>
      </c>
    </row>
    <row r="138" spans="1:7" ht="11.25" customHeight="1">
      <c r="A138" t="s">
        <v>16</v>
      </c>
      <c r="B138" t="s">
        <v>5152</v>
      </c>
      <c r="C138" t="s">
        <v>5153</v>
      </c>
      <c r="D138" t="s">
        <v>5152</v>
      </c>
      <c r="E138" t="s">
        <v>5153</v>
      </c>
      <c r="F138" t="s">
        <v>4806</v>
      </c>
      <c r="G138" t="s">
        <v>5154</v>
      </c>
    </row>
    <row r="139" spans="1:7" ht="11.25" customHeight="1">
      <c r="A139" t="s">
        <v>16</v>
      </c>
      <c r="B139" t="s">
        <v>5155</v>
      </c>
      <c r="C139" t="s">
        <v>5156</v>
      </c>
      <c r="D139" t="s">
        <v>5155</v>
      </c>
      <c r="E139" t="s">
        <v>5156</v>
      </c>
      <c r="F139" t="s">
        <v>4806</v>
      </c>
      <c r="G139" t="s">
        <v>5157</v>
      </c>
    </row>
    <row r="140" spans="1:7" ht="11.25" customHeight="1">
      <c r="A140" t="s">
        <v>16</v>
      </c>
      <c r="B140" t="s">
        <v>5158</v>
      </c>
      <c r="C140" t="s">
        <v>5159</v>
      </c>
      <c r="D140" t="s">
        <v>5160</v>
      </c>
      <c r="E140" t="s">
        <v>5161</v>
      </c>
      <c r="F140" t="s">
        <v>4827</v>
      </c>
      <c r="G140" t="s">
        <v>5162</v>
      </c>
    </row>
    <row r="141" spans="1:7" ht="11.25" customHeight="1">
      <c r="A141" t="s">
        <v>16</v>
      </c>
      <c r="B141" t="s">
        <v>5158</v>
      </c>
      <c r="C141" t="s">
        <v>5159</v>
      </c>
      <c r="D141" t="s">
        <v>5163</v>
      </c>
      <c r="E141" t="s">
        <v>5164</v>
      </c>
      <c r="F141" t="s">
        <v>4827</v>
      </c>
      <c r="G141" t="s">
        <v>5165</v>
      </c>
    </row>
    <row r="142" spans="1:7" ht="11.25" customHeight="1">
      <c r="A142" t="s">
        <v>16</v>
      </c>
      <c r="B142" t="s">
        <v>5158</v>
      </c>
      <c r="C142" t="s">
        <v>5159</v>
      </c>
      <c r="D142" t="s">
        <v>5166</v>
      </c>
      <c r="E142" t="s">
        <v>5167</v>
      </c>
      <c r="F142" t="s">
        <v>4827</v>
      </c>
      <c r="G142" t="s">
        <v>5168</v>
      </c>
    </row>
    <row r="143" spans="1:7" ht="11.25" customHeight="1">
      <c r="A143" t="s">
        <v>16</v>
      </c>
      <c r="B143" t="s">
        <v>5158</v>
      </c>
      <c r="C143" t="s">
        <v>5159</v>
      </c>
      <c r="D143" t="s">
        <v>5169</v>
      </c>
      <c r="E143" t="s">
        <v>5170</v>
      </c>
      <c r="F143" t="s">
        <v>4827</v>
      </c>
      <c r="G143" t="s">
        <v>5171</v>
      </c>
    </row>
    <row r="144" spans="1:7" ht="11.25" customHeight="1">
      <c r="A144" t="s">
        <v>16</v>
      </c>
      <c r="B144" t="s">
        <v>5158</v>
      </c>
      <c r="C144" t="s">
        <v>5159</v>
      </c>
      <c r="D144" t="s">
        <v>5172</v>
      </c>
      <c r="E144" t="s">
        <v>5173</v>
      </c>
      <c r="F144" t="s">
        <v>4827</v>
      </c>
      <c r="G144" t="s">
        <v>5174</v>
      </c>
    </row>
    <row r="145" spans="1:7" ht="11.25" customHeight="1">
      <c r="A145" t="s">
        <v>16</v>
      </c>
      <c r="B145" t="s">
        <v>5158</v>
      </c>
      <c r="C145" t="s">
        <v>5159</v>
      </c>
      <c r="D145" t="s">
        <v>5158</v>
      </c>
      <c r="E145" t="s">
        <v>5159</v>
      </c>
      <c r="F145" t="s">
        <v>4828</v>
      </c>
      <c r="G145" t="s">
        <v>5175</v>
      </c>
    </row>
    <row r="146" spans="1:7" ht="11.25" customHeight="1">
      <c r="A146" t="s">
        <v>16</v>
      </c>
      <c r="B146" t="s">
        <v>5176</v>
      </c>
      <c r="C146" t="s">
        <v>5177</v>
      </c>
      <c r="D146" t="s">
        <v>5176</v>
      </c>
      <c r="E146" t="s">
        <v>5177</v>
      </c>
      <c r="F146" t="s">
        <v>4806</v>
      </c>
      <c r="G146" t="s">
        <v>5178</v>
      </c>
    </row>
    <row r="147" spans="1:7" ht="11.25" customHeight="1">
      <c r="A147" t="s">
        <v>16</v>
      </c>
      <c r="B147" t="s">
        <v>5179</v>
      </c>
      <c r="C147" t="s">
        <v>5180</v>
      </c>
      <c r="D147" t="s">
        <v>5179</v>
      </c>
      <c r="E147" t="s">
        <v>5180</v>
      </c>
      <c r="F147" t="s">
        <v>4806</v>
      </c>
      <c r="G147" t="s">
        <v>5181</v>
      </c>
    </row>
    <row r="148" spans="1:7" ht="11.25" customHeight="1">
      <c r="A148" t="s">
        <v>16</v>
      </c>
      <c r="B148" t="s">
        <v>5182</v>
      </c>
      <c r="C148" t="s">
        <v>5183</v>
      </c>
      <c r="D148" t="s">
        <v>5182</v>
      </c>
      <c r="E148" t="s">
        <v>5183</v>
      </c>
      <c r="F148" t="s">
        <v>4806</v>
      </c>
      <c r="G148" t="s">
        <v>5184</v>
      </c>
    </row>
    <row r="149" spans="1:7" ht="11.25" customHeight="1">
      <c r="A149" t="s">
        <v>16</v>
      </c>
      <c r="B149" t="s">
        <v>5185</v>
      </c>
      <c r="C149" t="s">
        <v>5186</v>
      </c>
      <c r="D149" t="s">
        <v>5185</v>
      </c>
      <c r="E149" t="s">
        <v>5186</v>
      </c>
      <c r="F149" t="s">
        <v>4806</v>
      </c>
      <c r="G149" t="s">
        <v>5187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5"/>
  <sheetViews>
    <sheetView showGridLines="0" workbookViewId="0"/>
  </sheetViews>
  <sheetFormatPr defaultColWidth="9.140625" defaultRowHeight="11.25" customHeight="1"/>
  <cols>
    <col min="1" max="1" width="13.85546875" style="31" customWidth="1"/>
    <col min="2" max="2" width="10.42578125" style="31" customWidth="1"/>
    <col min="3" max="3" width="7.5703125" style="31" customWidth="1"/>
    <col min="4" max="4" width="13.85546875" style="31" customWidth="1"/>
    <col min="5" max="5" width="11.5703125" style="31" customWidth="1"/>
    <col min="6" max="6" width="16.28515625" style="31" customWidth="1"/>
    <col min="7" max="7" width="16" style="31" customWidth="1"/>
    <col min="8" max="9" width="16.140625" style="31" customWidth="1"/>
  </cols>
  <sheetData>
    <row r="1" spans="1:9" ht="11.25" customHeight="1">
      <c r="A1" s="31" t="s">
        <v>5188</v>
      </c>
      <c r="B1" s="31" t="s">
        <v>5189</v>
      </c>
      <c r="C1" s="31" t="s">
        <v>5190</v>
      </c>
      <c r="D1" s="31" t="s">
        <v>5191</v>
      </c>
      <c r="E1" s="31" t="s">
        <v>5192</v>
      </c>
      <c r="F1" s="31" t="s">
        <v>5193</v>
      </c>
      <c r="G1" s="31" t="s">
        <v>5194</v>
      </c>
      <c r="H1" s="31" t="s">
        <v>5195</v>
      </c>
      <c r="I1" s="31" t="s">
        <v>5196</v>
      </c>
    </row>
    <row r="2" spans="1:9" ht="11.25" customHeight="1">
      <c r="A2" s="31" t="s">
        <v>107</v>
      </c>
      <c r="B2" s="31" t="s">
        <v>5197</v>
      </c>
      <c r="C2" s="31" t="s">
        <v>28</v>
      </c>
      <c r="D2" s="31" t="s">
        <v>5198</v>
      </c>
      <c r="E2" s="31" t="s">
        <v>5199</v>
      </c>
      <c r="F2" s="31" t="s">
        <v>28</v>
      </c>
      <c r="G2" s="31" t="s">
        <v>28</v>
      </c>
      <c r="H2" s="31" t="s">
        <v>28</v>
      </c>
      <c r="I2" s="31" t="s">
        <v>28</v>
      </c>
    </row>
    <row r="3" spans="1:9" ht="11.25" customHeight="1">
      <c r="A3" s="31" t="s">
        <v>108</v>
      </c>
      <c r="B3" s="31" t="s">
        <v>5200</v>
      </c>
      <c r="C3" s="31" t="s">
        <v>28</v>
      </c>
      <c r="D3" s="31" t="s">
        <v>5201</v>
      </c>
      <c r="E3" s="31" t="s">
        <v>5202</v>
      </c>
      <c r="F3" s="31" t="s">
        <v>28</v>
      </c>
      <c r="G3" s="31" t="s">
        <v>28</v>
      </c>
      <c r="H3" s="31" t="s">
        <v>28</v>
      </c>
      <c r="I3" s="31" t="s">
        <v>28</v>
      </c>
    </row>
    <row r="4" spans="1:9" ht="11.25" customHeight="1">
      <c r="A4" s="31" t="s">
        <v>88</v>
      </c>
      <c r="B4" s="31" t="s">
        <v>5203</v>
      </c>
      <c r="C4" s="31" t="s">
        <v>28</v>
      </c>
      <c r="D4" s="31" t="s">
        <v>5204</v>
      </c>
      <c r="E4" s="31" t="s">
        <v>5205</v>
      </c>
      <c r="F4" s="31" t="s">
        <v>28</v>
      </c>
      <c r="G4" s="31" t="s">
        <v>28</v>
      </c>
      <c r="H4" s="31" t="s">
        <v>28</v>
      </c>
      <c r="I4" s="31" t="s">
        <v>28</v>
      </c>
    </row>
    <row r="5" spans="1:9" ht="11.25" customHeight="1">
      <c r="A5" s="31" t="s">
        <v>89</v>
      </c>
      <c r="B5" s="31" t="s">
        <v>5206</v>
      </c>
      <c r="C5" s="31" t="s">
        <v>28</v>
      </c>
      <c r="D5" s="31" t="s">
        <v>5207</v>
      </c>
      <c r="E5" s="31" t="s">
        <v>5208</v>
      </c>
      <c r="F5" s="31" t="s">
        <v>28</v>
      </c>
      <c r="G5" s="31" t="s">
        <v>28</v>
      </c>
      <c r="H5" s="31" t="s">
        <v>28</v>
      </c>
      <c r="I5" s="31" t="s">
        <v>28</v>
      </c>
    </row>
    <row r="6" spans="1:9" ht="11.25" customHeight="1">
      <c r="A6" s="31" t="s">
        <v>109</v>
      </c>
      <c r="B6" s="31" t="s">
        <v>5209</v>
      </c>
      <c r="C6" s="31" t="s">
        <v>28</v>
      </c>
      <c r="D6" s="31" t="s">
        <v>5204</v>
      </c>
      <c r="E6" s="31" t="s">
        <v>5205</v>
      </c>
      <c r="F6" s="31" t="s">
        <v>28</v>
      </c>
      <c r="G6" s="31" t="s">
        <v>28</v>
      </c>
      <c r="H6" s="31" t="s">
        <v>28</v>
      </c>
      <c r="I6" s="31" t="s">
        <v>28</v>
      </c>
    </row>
    <row r="7" spans="1:9" ht="11.25" customHeight="1">
      <c r="A7" s="31" t="s">
        <v>90</v>
      </c>
      <c r="B7" s="31" t="s">
        <v>5210</v>
      </c>
      <c r="C7" s="31" t="s">
        <v>28</v>
      </c>
      <c r="D7" s="31" t="s">
        <v>5204</v>
      </c>
      <c r="E7" s="31" t="s">
        <v>5205</v>
      </c>
      <c r="F7" s="31" t="s">
        <v>28</v>
      </c>
      <c r="G7" s="31" t="s">
        <v>28</v>
      </c>
      <c r="H7" s="31" t="s">
        <v>28</v>
      </c>
      <c r="I7" s="31" t="s">
        <v>28</v>
      </c>
    </row>
    <row r="8" spans="1:9" ht="11.25" customHeight="1">
      <c r="A8" s="31" t="s">
        <v>91</v>
      </c>
      <c r="B8" s="31" t="s">
        <v>5211</v>
      </c>
      <c r="C8" s="31" t="s">
        <v>28</v>
      </c>
      <c r="D8" s="31" t="s">
        <v>5212</v>
      </c>
      <c r="E8" s="31" t="s">
        <v>5202</v>
      </c>
      <c r="F8" s="31" t="s">
        <v>28</v>
      </c>
      <c r="G8" s="31" t="s">
        <v>28</v>
      </c>
      <c r="H8" s="31" t="s">
        <v>28</v>
      </c>
      <c r="I8" s="31" t="s">
        <v>28</v>
      </c>
    </row>
    <row r="9" spans="1:9" ht="11.25" customHeight="1">
      <c r="A9" s="31" t="s">
        <v>110</v>
      </c>
      <c r="B9" s="31" t="s">
        <v>5213</v>
      </c>
      <c r="C9" s="31" t="s">
        <v>28</v>
      </c>
      <c r="D9" s="31" t="s">
        <v>5204</v>
      </c>
      <c r="E9" s="31" t="s">
        <v>5214</v>
      </c>
      <c r="F9" s="31" t="s">
        <v>28</v>
      </c>
      <c r="G9" s="31" t="s">
        <v>28</v>
      </c>
      <c r="H9" s="31" t="s">
        <v>28</v>
      </c>
      <c r="I9" s="31" t="s">
        <v>28</v>
      </c>
    </row>
    <row r="10" spans="1:9" ht="11.25" customHeight="1">
      <c r="A10" s="31" t="s">
        <v>146</v>
      </c>
      <c r="B10" s="31" t="s">
        <v>5215</v>
      </c>
      <c r="C10" s="31" t="s">
        <v>28</v>
      </c>
      <c r="D10" s="31" t="s">
        <v>5204</v>
      </c>
      <c r="E10" s="31" t="s">
        <v>5205</v>
      </c>
      <c r="F10" s="31" t="s">
        <v>28</v>
      </c>
      <c r="G10" s="31" t="s">
        <v>28</v>
      </c>
      <c r="H10" s="31" t="s">
        <v>28</v>
      </c>
      <c r="I10" s="31" t="s">
        <v>28</v>
      </c>
    </row>
    <row r="11" spans="1:9" ht="11.25" customHeight="1">
      <c r="A11" s="31" t="s">
        <v>147</v>
      </c>
      <c r="B11" s="31" t="s">
        <v>5216</v>
      </c>
      <c r="C11" s="31" t="s">
        <v>28</v>
      </c>
      <c r="D11" s="31" t="s">
        <v>5217</v>
      </c>
      <c r="E11" s="31" t="s">
        <v>5218</v>
      </c>
      <c r="F11" s="31" t="s">
        <v>28</v>
      </c>
      <c r="G11" s="31" t="s">
        <v>28</v>
      </c>
      <c r="H11" s="31" t="s">
        <v>28</v>
      </c>
      <c r="I11" s="31" t="s">
        <v>28</v>
      </c>
    </row>
    <row r="12" spans="1:9" ht="11.25" customHeight="1">
      <c r="A12" s="31" t="s">
        <v>148</v>
      </c>
      <c r="B12" s="31" t="s">
        <v>5219</v>
      </c>
      <c r="C12" s="31" t="s">
        <v>28</v>
      </c>
      <c r="D12" s="31" t="s">
        <v>5220</v>
      </c>
      <c r="E12" s="31" t="s">
        <v>5199</v>
      </c>
      <c r="F12" s="31" t="s">
        <v>28</v>
      </c>
      <c r="G12" s="31" t="s">
        <v>28</v>
      </c>
      <c r="H12" s="31" t="s">
        <v>28</v>
      </c>
      <c r="I12" s="31" t="s">
        <v>28</v>
      </c>
    </row>
    <row r="13" spans="1:9" ht="11.25" customHeight="1">
      <c r="A13" s="31" t="s">
        <v>149</v>
      </c>
      <c r="B13" s="31" t="s">
        <v>5221</v>
      </c>
      <c r="C13" s="31" t="s">
        <v>28</v>
      </c>
      <c r="D13" s="31" t="s">
        <v>5222</v>
      </c>
      <c r="E13" s="31" t="s">
        <v>5223</v>
      </c>
      <c r="F13" s="31" t="s">
        <v>28</v>
      </c>
      <c r="G13" s="31" t="s">
        <v>28</v>
      </c>
      <c r="H13" s="31" t="s">
        <v>28</v>
      </c>
      <c r="I13" s="31" t="s">
        <v>28</v>
      </c>
    </row>
    <row r="14" spans="1:9" ht="11.25" customHeight="1">
      <c r="A14" s="31" t="s">
        <v>150</v>
      </c>
      <c r="B14" s="31" t="s">
        <v>5224</v>
      </c>
      <c r="C14" s="31" t="s">
        <v>28</v>
      </c>
      <c r="D14" s="31" t="s">
        <v>5225</v>
      </c>
      <c r="E14" s="31" t="s">
        <v>5199</v>
      </c>
      <c r="F14" s="31" t="s">
        <v>28</v>
      </c>
      <c r="G14" s="31" t="s">
        <v>28</v>
      </c>
      <c r="H14" s="31" t="s">
        <v>28</v>
      </c>
      <c r="I14" s="31" t="s">
        <v>28</v>
      </c>
    </row>
    <row r="15" spans="1:9" ht="11.25" customHeight="1">
      <c r="A15" s="31" t="s">
        <v>151</v>
      </c>
      <c r="B15" s="31" t="s">
        <v>5226</v>
      </c>
      <c r="C15" s="31" t="s">
        <v>28</v>
      </c>
      <c r="D15" s="31" t="s">
        <v>5220</v>
      </c>
      <c r="E15" s="31" t="s">
        <v>5199</v>
      </c>
      <c r="F15" s="31" t="s">
        <v>28</v>
      </c>
      <c r="G15" s="31" t="s">
        <v>28</v>
      </c>
      <c r="H15" s="31" t="s">
        <v>28</v>
      </c>
      <c r="I15" s="31" t="s">
        <v>28</v>
      </c>
    </row>
    <row r="16" spans="1:9" ht="11.25" customHeight="1">
      <c r="A16" s="31" t="s">
        <v>1463</v>
      </c>
      <c r="B16" s="31" t="s">
        <v>5227</v>
      </c>
      <c r="C16" s="31" t="s">
        <v>28</v>
      </c>
      <c r="D16" s="31" t="s">
        <v>5207</v>
      </c>
      <c r="E16" s="31" t="s">
        <v>5199</v>
      </c>
      <c r="F16" s="31" t="s">
        <v>28</v>
      </c>
      <c r="G16" s="31" t="s">
        <v>28</v>
      </c>
      <c r="H16" s="31" t="s">
        <v>28</v>
      </c>
      <c r="I16" s="31" t="s">
        <v>28</v>
      </c>
    </row>
    <row r="17" spans="1:9" ht="11.25" customHeight="1">
      <c r="A17" s="31" t="s">
        <v>1469</v>
      </c>
      <c r="B17" s="31" t="s">
        <v>5228</v>
      </c>
      <c r="C17" s="31" t="s">
        <v>28</v>
      </c>
      <c r="D17" s="31" t="s">
        <v>5204</v>
      </c>
      <c r="E17" s="31" t="s">
        <v>5229</v>
      </c>
      <c r="F17" s="31" t="s">
        <v>28</v>
      </c>
      <c r="G17" s="31" t="s">
        <v>28</v>
      </c>
      <c r="H17" s="31" t="s">
        <v>28</v>
      </c>
      <c r="I17" s="31" t="s">
        <v>28</v>
      </c>
    </row>
    <row r="18" spans="1:9" ht="11.25" customHeight="1">
      <c r="A18" s="31" t="s">
        <v>1481</v>
      </c>
      <c r="B18" s="31" t="s">
        <v>5230</v>
      </c>
      <c r="C18" s="31" t="s">
        <v>28</v>
      </c>
      <c r="D18" s="31" t="s">
        <v>5204</v>
      </c>
      <c r="E18" s="31" t="s">
        <v>5205</v>
      </c>
      <c r="F18" s="31" t="s">
        <v>28</v>
      </c>
      <c r="G18" s="31" t="s">
        <v>28</v>
      </c>
      <c r="H18" s="31" t="s">
        <v>28</v>
      </c>
      <c r="I18" s="31" t="s">
        <v>28</v>
      </c>
    </row>
    <row r="19" spans="1:9" ht="11.25" customHeight="1">
      <c r="A19" s="31" t="s">
        <v>97</v>
      </c>
      <c r="B19" s="31" t="s">
        <v>5231</v>
      </c>
      <c r="C19" s="31" t="s">
        <v>28</v>
      </c>
      <c r="D19" s="31" t="s">
        <v>5204</v>
      </c>
      <c r="E19" s="31" t="s">
        <v>5205</v>
      </c>
      <c r="F19" s="31" t="s">
        <v>28</v>
      </c>
      <c r="G19" s="31" t="s">
        <v>28</v>
      </c>
      <c r="H19" s="31" t="s">
        <v>28</v>
      </c>
      <c r="I19" s="31" t="s">
        <v>28</v>
      </c>
    </row>
    <row r="20" spans="1:9" ht="11.25" customHeight="1">
      <c r="A20" s="31" t="s">
        <v>1506</v>
      </c>
      <c r="B20" s="31" t="s">
        <v>5232</v>
      </c>
      <c r="C20" s="31" t="s">
        <v>28</v>
      </c>
      <c r="D20" s="31" t="s">
        <v>5204</v>
      </c>
      <c r="E20" s="31" t="s">
        <v>5205</v>
      </c>
      <c r="F20" s="31" t="s">
        <v>28</v>
      </c>
      <c r="G20" s="31" t="s">
        <v>28</v>
      </c>
      <c r="H20" s="31" t="s">
        <v>28</v>
      </c>
      <c r="I20" s="31" t="s">
        <v>28</v>
      </c>
    </row>
    <row r="21" spans="1:9" ht="11.25" customHeight="1">
      <c r="A21" s="31" t="s">
        <v>1515</v>
      </c>
      <c r="B21" s="31" t="s">
        <v>5233</v>
      </c>
      <c r="C21" s="31" t="s">
        <v>28</v>
      </c>
      <c r="D21" s="31" t="s">
        <v>5204</v>
      </c>
      <c r="E21" s="31" t="s">
        <v>5205</v>
      </c>
      <c r="F21" s="31" t="s">
        <v>28</v>
      </c>
      <c r="G21" s="31" t="s">
        <v>28</v>
      </c>
      <c r="H21" s="31" t="s">
        <v>28</v>
      </c>
      <c r="I21" s="31" t="s">
        <v>28</v>
      </c>
    </row>
    <row r="22" spans="1:9" ht="11.25" customHeight="1">
      <c r="A22" s="31" t="s">
        <v>1531</v>
      </c>
      <c r="B22" s="31" t="s">
        <v>5234</v>
      </c>
      <c r="C22" s="31" t="s">
        <v>28</v>
      </c>
      <c r="D22" s="31" t="s">
        <v>5204</v>
      </c>
      <c r="E22" s="31" t="s">
        <v>5229</v>
      </c>
      <c r="F22" s="31" t="s">
        <v>28</v>
      </c>
      <c r="G22" s="31" t="s">
        <v>28</v>
      </c>
      <c r="H22" s="31" t="s">
        <v>28</v>
      </c>
      <c r="I22" s="31" t="s">
        <v>28</v>
      </c>
    </row>
    <row r="23" spans="1:9" ht="11.25" customHeight="1">
      <c r="A23" s="31" t="s">
        <v>1538</v>
      </c>
      <c r="B23" s="31" t="s">
        <v>5235</v>
      </c>
      <c r="C23" s="31" t="s">
        <v>28</v>
      </c>
      <c r="D23" s="31" t="s">
        <v>5204</v>
      </c>
      <c r="E23" s="31" t="s">
        <v>5205</v>
      </c>
      <c r="F23" s="31" t="s">
        <v>28</v>
      </c>
      <c r="G23" s="31" t="s">
        <v>28</v>
      </c>
      <c r="H23" s="31" t="s">
        <v>28</v>
      </c>
      <c r="I23" s="31" t="s">
        <v>28</v>
      </c>
    </row>
    <row r="24" spans="1:9" ht="11.25" customHeight="1">
      <c r="A24" s="31" t="s">
        <v>1546</v>
      </c>
      <c r="B24" s="31" t="s">
        <v>5236</v>
      </c>
      <c r="C24" s="31" t="s">
        <v>28</v>
      </c>
      <c r="D24" s="31" t="s">
        <v>5204</v>
      </c>
      <c r="E24" s="31" t="s">
        <v>5229</v>
      </c>
      <c r="F24" s="31" t="s">
        <v>28</v>
      </c>
      <c r="G24" s="31" t="s">
        <v>28</v>
      </c>
      <c r="H24" s="31" t="s">
        <v>28</v>
      </c>
      <c r="I24" s="31" t="s">
        <v>28</v>
      </c>
    </row>
    <row r="25" spans="1:9" ht="11.25" customHeight="1">
      <c r="A25" s="31" t="s">
        <v>1553</v>
      </c>
      <c r="B25" s="31" t="s">
        <v>5237</v>
      </c>
      <c r="C25" s="31" t="s">
        <v>28</v>
      </c>
      <c r="D25" s="31" t="s">
        <v>5238</v>
      </c>
      <c r="E25" s="31" t="s">
        <v>5223</v>
      </c>
      <c r="F25" s="31" t="s">
        <v>28</v>
      </c>
      <c r="G25" s="31" t="s">
        <v>28</v>
      </c>
      <c r="H25" s="31" t="s">
        <v>28</v>
      </c>
      <c r="I25" s="31" t="s">
        <v>28</v>
      </c>
    </row>
    <row r="26" spans="1:9" ht="11.25" customHeight="1">
      <c r="A26" s="31" t="s">
        <v>1557</v>
      </c>
      <c r="B26" s="31" t="s">
        <v>5239</v>
      </c>
      <c r="C26" s="31" t="s">
        <v>28</v>
      </c>
      <c r="D26" s="31" t="s">
        <v>5204</v>
      </c>
      <c r="E26" s="31" t="s">
        <v>5205</v>
      </c>
      <c r="F26" s="31" t="s">
        <v>28</v>
      </c>
      <c r="G26" s="31" t="s">
        <v>28</v>
      </c>
      <c r="H26" s="31" t="s">
        <v>28</v>
      </c>
      <c r="I26" s="31" t="s">
        <v>28</v>
      </c>
    </row>
    <row r="27" spans="1:9" ht="11.25" customHeight="1">
      <c r="A27" s="31" t="s">
        <v>1562</v>
      </c>
      <c r="B27" s="31" t="s">
        <v>5240</v>
      </c>
      <c r="C27" s="31" t="s">
        <v>28</v>
      </c>
      <c r="D27" s="31" t="s">
        <v>5204</v>
      </c>
      <c r="E27" s="31" t="s">
        <v>5205</v>
      </c>
      <c r="F27" s="31" t="s">
        <v>28</v>
      </c>
      <c r="G27" s="31" t="s">
        <v>28</v>
      </c>
      <c r="H27" s="31" t="s">
        <v>28</v>
      </c>
      <c r="I27" s="31" t="s">
        <v>28</v>
      </c>
    </row>
    <row r="28" spans="1:9" ht="11.25" customHeight="1">
      <c r="A28" s="31" t="s">
        <v>1570</v>
      </c>
      <c r="B28" s="31" t="s">
        <v>5241</v>
      </c>
      <c r="C28" s="31" t="s">
        <v>28</v>
      </c>
      <c r="D28" s="31" t="s">
        <v>5204</v>
      </c>
      <c r="E28" s="31" t="s">
        <v>5205</v>
      </c>
      <c r="F28" s="31" t="s">
        <v>28</v>
      </c>
      <c r="G28" s="31" t="s">
        <v>28</v>
      </c>
      <c r="H28" s="31" t="s">
        <v>28</v>
      </c>
      <c r="I28" s="31" t="s">
        <v>28</v>
      </c>
    </row>
    <row r="29" spans="1:9" ht="11.25" customHeight="1">
      <c r="A29" s="31" t="s">
        <v>1572</v>
      </c>
      <c r="B29" s="31" t="s">
        <v>5242</v>
      </c>
      <c r="C29" s="31" t="s">
        <v>28</v>
      </c>
      <c r="D29" s="31" t="s">
        <v>5204</v>
      </c>
      <c r="E29" s="31" t="s">
        <v>5205</v>
      </c>
      <c r="F29" s="31" t="s">
        <v>28</v>
      </c>
      <c r="G29" s="31" t="s">
        <v>28</v>
      </c>
      <c r="H29" s="31" t="s">
        <v>28</v>
      </c>
      <c r="I29" s="31" t="s">
        <v>28</v>
      </c>
    </row>
    <row r="30" spans="1:9" ht="11.25" customHeight="1">
      <c r="A30" s="31" t="s">
        <v>1575</v>
      </c>
      <c r="B30" s="31" t="s">
        <v>5243</v>
      </c>
      <c r="C30" s="31" t="s">
        <v>28</v>
      </c>
      <c r="D30" s="31" t="s">
        <v>5204</v>
      </c>
      <c r="E30" s="31" t="s">
        <v>5205</v>
      </c>
      <c r="F30" s="31" t="s">
        <v>28</v>
      </c>
      <c r="G30" s="31" t="s">
        <v>28</v>
      </c>
      <c r="H30" s="31" t="s">
        <v>28</v>
      </c>
      <c r="I30" s="31" t="s">
        <v>28</v>
      </c>
    </row>
    <row r="31" spans="1:9" ht="11.25" customHeight="1">
      <c r="A31" s="31" t="s">
        <v>1581</v>
      </c>
      <c r="B31" s="31" t="s">
        <v>5244</v>
      </c>
      <c r="C31" s="31" t="s">
        <v>28</v>
      </c>
      <c r="D31" s="31" t="s">
        <v>5204</v>
      </c>
      <c r="E31" s="31" t="s">
        <v>5229</v>
      </c>
      <c r="F31" s="31" t="s">
        <v>28</v>
      </c>
      <c r="G31" s="31" t="s">
        <v>28</v>
      </c>
      <c r="H31" s="31" t="s">
        <v>28</v>
      </c>
      <c r="I31" s="31" t="s">
        <v>28</v>
      </c>
    </row>
    <row r="32" spans="1:9" ht="11.25" customHeight="1">
      <c r="A32" s="31" t="s">
        <v>1583</v>
      </c>
      <c r="B32" s="31" t="s">
        <v>5245</v>
      </c>
      <c r="C32" s="31" t="s">
        <v>28</v>
      </c>
      <c r="D32" s="31" t="s">
        <v>5204</v>
      </c>
      <c r="E32" s="31" t="s">
        <v>5205</v>
      </c>
      <c r="F32" s="31" t="s">
        <v>28</v>
      </c>
      <c r="G32" s="31" t="s">
        <v>28</v>
      </c>
      <c r="H32" s="31" t="s">
        <v>28</v>
      </c>
      <c r="I32" s="31" t="s">
        <v>28</v>
      </c>
    </row>
    <row r="33" spans="1:9" ht="11.25" customHeight="1">
      <c r="A33" s="31" t="s">
        <v>1585</v>
      </c>
      <c r="B33" s="31" t="s">
        <v>5246</v>
      </c>
      <c r="C33" s="31" t="s">
        <v>28</v>
      </c>
      <c r="D33" s="31" t="s">
        <v>5204</v>
      </c>
      <c r="E33" s="31" t="s">
        <v>5205</v>
      </c>
      <c r="F33" s="31" t="s">
        <v>28</v>
      </c>
      <c r="G33" s="31" t="s">
        <v>28</v>
      </c>
      <c r="H33" s="31" t="s">
        <v>28</v>
      </c>
      <c r="I33" s="31" t="s">
        <v>28</v>
      </c>
    </row>
    <row r="34" spans="1:9" ht="11.25" customHeight="1">
      <c r="A34" s="31" t="s">
        <v>1587</v>
      </c>
      <c r="B34" s="31" t="s">
        <v>5247</v>
      </c>
      <c r="C34" s="31" t="s">
        <v>28</v>
      </c>
      <c r="D34" s="31" t="s">
        <v>5204</v>
      </c>
      <c r="E34" s="31" t="s">
        <v>5205</v>
      </c>
      <c r="F34" s="31" t="s">
        <v>28</v>
      </c>
      <c r="G34" s="31" t="s">
        <v>28</v>
      </c>
      <c r="H34" s="31" t="s">
        <v>28</v>
      </c>
      <c r="I34" s="31" t="s">
        <v>28</v>
      </c>
    </row>
    <row r="35" spans="1:9" ht="11.25" customHeight="1">
      <c r="A35" s="31" t="s">
        <v>1592</v>
      </c>
      <c r="B35" s="31" t="s">
        <v>5248</v>
      </c>
      <c r="C35" s="31" t="s">
        <v>28</v>
      </c>
      <c r="D35" s="31" t="s">
        <v>5204</v>
      </c>
      <c r="E35" s="31" t="s">
        <v>5205</v>
      </c>
      <c r="F35" s="31" t="s">
        <v>28</v>
      </c>
      <c r="G35" s="31" t="s">
        <v>28</v>
      </c>
      <c r="H35" s="31" t="s">
        <v>28</v>
      </c>
      <c r="I35" s="31" t="s">
        <v>28</v>
      </c>
    </row>
    <row r="36" spans="1:9" ht="11.25" customHeight="1">
      <c r="A36" s="31" t="s">
        <v>1597</v>
      </c>
      <c r="B36" s="31" t="s">
        <v>5249</v>
      </c>
      <c r="C36" s="31" t="s">
        <v>28</v>
      </c>
      <c r="D36" s="31" t="s">
        <v>5204</v>
      </c>
      <c r="E36" s="31" t="s">
        <v>5205</v>
      </c>
      <c r="F36" s="31" t="s">
        <v>28</v>
      </c>
      <c r="G36" s="31" t="s">
        <v>28</v>
      </c>
      <c r="H36" s="31" t="s">
        <v>28</v>
      </c>
      <c r="I36" s="31" t="s">
        <v>28</v>
      </c>
    </row>
    <row r="37" spans="1:9" ht="11.25" customHeight="1">
      <c r="A37" s="31" t="s">
        <v>1601</v>
      </c>
      <c r="B37" s="31" t="s">
        <v>5250</v>
      </c>
      <c r="C37" s="31" t="s">
        <v>28</v>
      </c>
      <c r="D37" s="31" t="s">
        <v>5204</v>
      </c>
      <c r="E37" s="31" t="s">
        <v>5205</v>
      </c>
      <c r="F37" s="31" t="s">
        <v>28</v>
      </c>
      <c r="G37" s="31" t="s">
        <v>28</v>
      </c>
      <c r="H37" s="31" t="s">
        <v>28</v>
      </c>
      <c r="I37" s="31" t="s">
        <v>28</v>
      </c>
    </row>
    <row r="38" spans="1:9" ht="11.25" customHeight="1">
      <c r="A38" s="31" t="s">
        <v>1609</v>
      </c>
      <c r="B38" s="31" t="s">
        <v>5251</v>
      </c>
      <c r="C38" s="31" t="s">
        <v>28</v>
      </c>
      <c r="D38" s="31" t="s">
        <v>5204</v>
      </c>
      <c r="E38" s="31" t="s">
        <v>5205</v>
      </c>
      <c r="F38" s="31" t="s">
        <v>28</v>
      </c>
      <c r="G38" s="31" t="s">
        <v>28</v>
      </c>
      <c r="H38" s="31" t="s">
        <v>28</v>
      </c>
      <c r="I38" s="31" t="s">
        <v>28</v>
      </c>
    </row>
    <row r="39" spans="1:9" ht="11.25" customHeight="1">
      <c r="A39" s="31" t="s">
        <v>1615</v>
      </c>
      <c r="B39" s="31" t="s">
        <v>5252</v>
      </c>
      <c r="C39" s="31" t="s">
        <v>28</v>
      </c>
      <c r="D39" s="31" t="s">
        <v>5204</v>
      </c>
      <c r="E39" s="31" t="s">
        <v>5205</v>
      </c>
      <c r="F39" s="31" t="s">
        <v>28</v>
      </c>
      <c r="G39" s="31" t="s">
        <v>28</v>
      </c>
      <c r="H39" s="31" t="s">
        <v>28</v>
      </c>
      <c r="I39" s="31" t="s">
        <v>28</v>
      </c>
    </row>
    <row r="40" spans="1:9" ht="11.25" customHeight="1">
      <c r="A40" s="31" t="s">
        <v>1620</v>
      </c>
      <c r="B40" s="31" t="s">
        <v>5253</v>
      </c>
      <c r="C40" s="31" t="s">
        <v>28</v>
      </c>
      <c r="D40" s="31" t="s">
        <v>5204</v>
      </c>
      <c r="E40" s="31" t="s">
        <v>5229</v>
      </c>
      <c r="F40" s="31" t="s">
        <v>28</v>
      </c>
      <c r="G40" s="31" t="s">
        <v>28</v>
      </c>
      <c r="H40" s="31" t="s">
        <v>28</v>
      </c>
      <c r="I40" s="31" t="s">
        <v>28</v>
      </c>
    </row>
    <row r="41" spans="1:9" ht="11.25" customHeight="1">
      <c r="A41" s="31" t="s">
        <v>1624</v>
      </c>
      <c r="B41" s="31" t="s">
        <v>5254</v>
      </c>
      <c r="C41" s="31" t="s">
        <v>28</v>
      </c>
      <c r="D41" s="31" t="s">
        <v>5255</v>
      </c>
      <c r="E41" s="31" t="s">
        <v>5199</v>
      </c>
      <c r="F41" s="31" t="s">
        <v>28</v>
      </c>
      <c r="G41" s="31" t="s">
        <v>28</v>
      </c>
      <c r="H41" s="31" t="s">
        <v>28</v>
      </c>
      <c r="I41" s="31" t="s">
        <v>28</v>
      </c>
    </row>
    <row r="42" spans="1:9" ht="11.25" customHeight="1">
      <c r="A42" s="31" t="s">
        <v>1627</v>
      </c>
      <c r="B42" s="31" t="s">
        <v>5256</v>
      </c>
      <c r="C42" s="31" t="s">
        <v>28</v>
      </c>
      <c r="D42" s="31" t="s">
        <v>5255</v>
      </c>
      <c r="E42" s="31" t="s">
        <v>5223</v>
      </c>
      <c r="F42" s="31" t="s">
        <v>28</v>
      </c>
      <c r="G42" s="31" t="s">
        <v>28</v>
      </c>
      <c r="H42" s="31" t="s">
        <v>28</v>
      </c>
      <c r="I42" s="31" t="s">
        <v>28</v>
      </c>
    </row>
    <row r="43" spans="1:9" ht="11.25" customHeight="1">
      <c r="A43" s="31" t="s">
        <v>1634</v>
      </c>
      <c r="B43" s="31" t="s">
        <v>5257</v>
      </c>
      <c r="C43" s="31" t="s">
        <v>28</v>
      </c>
      <c r="D43" s="31" t="s">
        <v>5255</v>
      </c>
      <c r="E43" s="31" t="s">
        <v>5229</v>
      </c>
      <c r="F43" s="31" t="s">
        <v>28</v>
      </c>
      <c r="G43" s="31" t="s">
        <v>28</v>
      </c>
      <c r="H43" s="31" t="s">
        <v>28</v>
      </c>
      <c r="I43" s="31" t="s">
        <v>28</v>
      </c>
    </row>
    <row r="44" spans="1:9" ht="11.25" customHeight="1">
      <c r="A44" s="31" t="s">
        <v>1643</v>
      </c>
      <c r="B44" s="31" t="s">
        <v>5258</v>
      </c>
      <c r="C44" s="31" t="s">
        <v>28</v>
      </c>
      <c r="D44" s="31" t="s">
        <v>5255</v>
      </c>
      <c r="E44" s="31" t="s">
        <v>5259</v>
      </c>
      <c r="F44" s="31" t="s">
        <v>28</v>
      </c>
      <c r="G44" s="31" t="s">
        <v>28</v>
      </c>
      <c r="H44" s="31" t="s">
        <v>28</v>
      </c>
      <c r="I44" s="31" t="s">
        <v>28</v>
      </c>
    </row>
    <row r="45" spans="1:9" ht="11.25" customHeight="1">
      <c r="A45" s="31" t="s">
        <v>1648</v>
      </c>
      <c r="B45" s="31" t="s">
        <v>5260</v>
      </c>
      <c r="C45" s="31" t="s">
        <v>28</v>
      </c>
      <c r="D45" s="31" t="s">
        <v>5255</v>
      </c>
      <c r="E45" s="31" t="s">
        <v>5205</v>
      </c>
      <c r="F45" s="31" t="s">
        <v>28</v>
      </c>
      <c r="G45" s="31" t="s">
        <v>28</v>
      </c>
      <c r="H45" s="31" t="s">
        <v>28</v>
      </c>
      <c r="I45" s="31"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7" hidden="1" customWidth="1"/>
    <col min="2" max="2" width="9.140625" style="10" hidden="1" customWidth="1"/>
    <col min="3" max="3" width="3" style="74" customWidth="1"/>
    <col min="4" max="4" width="5" style="10" customWidth="1"/>
    <col min="5" max="5" width="48" style="10" customWidth="1"/>
    <col min="6" max="6" width="38" style="10" customWidth="1"/>
    <col min="7" max="7" width="1.7109375" style="10" hidden="1" customWidth="1"/>
    <col min="8" max="11" width="19.85546875" style="10" hidden="1" customWidth="1"/>
    <col min="12" max="12" width="9.7109375" style="10" hidden="1" customWidth="1"/>
    <col min="13" max="18" width="19.85546875" style="10" hidden="1" customWidth="1"/>
    <col min="19" max="19" width="1.7109375" style="10" hidden="1" customWidth="1"/>
    <col min="20" max="22" width="19.85546875" style="10" hidden="1" customWidth="1"/>
    <col min="23" max="23" width="1.7109375" style="10" hidden="1" customWidth="1"/>
    <col min="24" max="26" width="19.85546875" style="10" customWidth="1"/>
    <col min="27" max="27" width="1.7109375" style="10" hidden="1" customWidth="1"/>
    <col min="28" max="29" width="19.85546875" style="10" hidden="1" customWidth="1"/>
    <col min="30" max="30" width="1.7109375" style="10" hidden="1" customWidth="1"/>
    <col min="31" max="32" width="103.7109375" style="10" hidden="1" customWidth="1"/>
    <col min="33" max="33" width="103.7109375" style="10" customWidth="1"/>
    <col min="34" max="34" width="103.7109375" style="10" hidden="1" customWidth="1"/>
    <col min="35" max="35" width="3" style="44" customWidth="1"/>
    <col min="36" max="38" width="10" style="65" customWidth="1"/>
    <col min="39" max="39" width="13.7109375" style="65" hidden="1" customWidth="1"/>
    <col min="40" max="40" width="15" style="65" customWidth="1"/>
    <col min="41" max="41" width="16" style="65" customWidth="1"/>
    <col min="42" max="45" width="10" style="65" customWidth="1"/>
    <col min="46" max="46" width="10.5703125" style="10" hidden="1"/>
  </cols>
  <sheetData>
    <row r="1" spans="1:46" ht="22.5" hidden="1" customHeight="1">
      <c r="E1" s="232"/>
      <c r="F1" s="232"/>
      <c r="G1" s="232"/>
      <c r="H1" s="1261" t="s">
        <v>352</v>
      </c>
      <c r="I1" s="1261"/>
      <c r="J1" s="1261"/>
      <c r="K1" s="1261"/>
      <c r="L1" s="1261"/>
      <c r="M1" s="1261"/>
      <c r="N1" s="1261"/>
      <c r="O1" s="1261"/>
      <c r="P1" s="1261"/>
      <c r="Q1" s="1261"/>
      <c r="R1" s="1261"/>
      <c r="T1" s="1261" t="s">
        <v>353</v>
      </c>
      <c r="U1" s="1261"/>
      <c r="V1" s="1261"/>
      <c r="X1" s="1261" t="s">
        <v>354</v>
      </c>
      <c r="Y1" s="1261"/>
      <c r="Z1" s="1261"/>
      <c r="AB1" s="1261" t="s">
        <v>355</v>
      </c>
      <c r="AC1" s="1261"/>
      <c r="AT1" s="10" t="s">
        <v>14</v>
      </c>
    </row>
    <row r="2" spans="1:46" ht="14.25" hidden="1" customHeight="1">
      <c r="AT2" s="10">
        <v>0</v>
      </c>
    </row>
    <row r="3" spans="1:46" s="401" customFormat="1" ht="5.25" customHeight="1">
      <c r="C3" s="402"/>
      <c r="D3" s="403"/>
      <c r="E3" s="403"/>
      <c r="F3" s="403"/>
      <c r="G3" s="403"/>
      <c r="H3" s="403" t="s">
        <v>356</v>
      </c>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J3" s="65"/>
      <c r="AK3" s="65"/>
      <c r="AL3" s="65"/>
      <c r="AM3" s="65"/>
      <c r="AN3" s="65"/>
      <c r="AO3" s="65"/>
      <c r="AP3" s="65"/>
      <c r="AQ3" s="65"/>
      <c r="AR3" s="65"/>
      <c r="AS3" s="65"/>
      <c r="AT3" s="401">
        <v>5</v>
      </c>
    </row>
    <row r="4" spans="1:46" ht="39.75" customHeight="1">
      <c r="C4" s="22"/>
      <c r="D4" s="1196" t="str">
        <f>ORG_VD_NAME_FORM</f>
        <v>Форма 1. Информация об организации, осуществляющей холодное водоснабжение (общая информация)</v>
      </c>
      <c r="E4" s="1197"/>
      <c r="F4" s="1197"/>
      <c r="G4" s="1197"/>
      <c r="H4" s="1197"/>
      <c r="I4" s="1197"/>
      <c r="J4" s="1197"/>
      <c r="K4" s="1197"/>
      <c r="L4" s="1197"/>
      <c r="M4" s="1197"/>
      <c r="N4" s="1197"/>
      <c r="O4" s="1197"/>
      <c r="P4" s="1197"/>
      <c r="Q4" s="1197"/>
      <c r="R4" s="1198"/>
      <c r="S4" s="487"/>
      <c r="T4" s="400"/>
      <c r="U4" s="400"/>
      <c r="V4" s="400"/>
      <c r="W4" s="400"/>
      <c r="X4" s="400"/>
      <c r="Y4" s="400"/>
      <c r="Z4" s="400"/>
      <c r="AA4" s="400"/>
      <c r="AB4" s="400"/>
      <c r="AC4" s="400"/>
      <c r="AD4" s="400"/>
      <c r="AE4" s="278"/>
      <c r="AF4" s="278"/>
      <c r="AG4" s="278"/>
      <c r="AH4" s="278"/>
      <c r="AI4" s="153"/>
      <c r="AT4" s="10">
        <v>38</v>
      </c>
    </row>
    <row r="5" spans="1:46" s="10" customFormat="1" ht="18" customHeight="1">
      <c r="A5" s="7"/>
      <c r="C5" s="22"/>
      <c r="D5" s="1258" t="str">
        <f>IF(org=0,"Не определено",org)</f>
        <v>Общество с ограниченной ответственностью "Березовский рудник"</v>
      </c>
      <c r="E5" s="1259"/>
      <c r="F5" s="1259"/>
      <c r="G5" s="1259"/>
      <c r="H5" s="1259"/>
      <c r="I5" s="1259"/>
      <c r="J5" s="1259"/>
      <c r="K5" s="1259"/>
      <c r="L5" s="1259"/>
      <c r="M5" s="1259"/>
      <c r="N5" s="1259"/>
      <c r="O5" s="1259"/>
      <c r="P5" s="1259"/>
      <c r="Q5" s="1259"/>
      <c r="R5" s="1260"/>
      <c r="S5" s="487"/>
      <c r="T5" s="400"/>
      <c r="U5" s="400"/>
      <c r="V5" s="400"/>
      <c r="W5" s="400"/>
      <c r="X5" s="400"/>
      <c r="Y5" s="400"/>
      <c r="Z5" s="400"/>
      <c r="AA5" s="400"/>
      <c r="AB5" s="400"/>
      <c r="AC5" s="400"/>
      <c r="AD5" s="400"/>
      <c r="AE5" s="278"/>
      <c r="AF5" s="278"/>
      <c r="AG5" s="278"/>
      <c r="AH5" s="278"/>
      <c r="AI5" s="153"/>
      <c r="AJ5" s="65"/>
      <c r="AK5" s="65"/>
      <c r="AL5" s="65"/>
      <c r="AM5" s="65"/>
      <c r="AN5" s="65"/>
      <c r="AO5" s="65"/>
      <c r="AP5" s="65"/>
      <c r="AQ5" s="65"/>
      <c r="AR5" s="65"/>
      <c r="AS5" s="65"/>
      <c r="AT5" s="10">
        <v>17</v>
      </c>
    </row>
    <row r="6" spans="1:46" s="133" customFormat="1" ht="11.45" customHeight="1">
      <c r="A6" s="271"/>
      <c r="C6" s="276"/>
      <c r="D6" s="275"/>
      <c r="E6" s="275"/>
      <c r="F6" s="275"/>
      <c r="G6" s="275"/>
      <c r="H6" s="275"/>
      <c r="I6" s="275"/>
      <c r="J6" s="275"/>
      <c r="K6" s="275"/>
      <c r="L6" s="275"/>
      <c r="M6" s="275"/>
      <c r="N6" s="275"/>
      <c r="O6" s="275"/>
      <c r="P6" s="275"/>
      <c r="Q6" s="275"/>
      <c r="R6" s="432"/>
      <c r="S6" s="432"/>
      <c r="T6" s="275"/>
      <c r="U6" s="275"/>
      <c r="V6" s="407"/>
      <c r="W6" s="407"/>
      <c r="X6" s="275"/>
      <c r="Y6" s="275"/>
      <c r="Z6" s="407"/>
      <c r="AA6" s="407"/>
      <c r="AB6" s="275"/>
      <c r="AC6" s="407"/>
      <c r="AD6" s="407"/>
      <c r="AE6" s="275"/>
      <c r="AF6" s="275"/>
      <c r="AG6" s="275"/>
      <c r="AH6" s="275"/>
      <c r="AJ6" s="65"/>
      <c r="AK6" s="65"/>
      <c r="AL6" s="65"/>
      <c r="AM6" s="65"/>
      <c r="AN6" s="65"/>
      <c r="AO6" s="65"/>
      <c r="AP6" s="65"/>
      <c r="AQ6" s="65"/>
      <c r="AR6" s="65"/>
      <c r="AS6" s="65"/>
      <c r="AT6" s="133">
        <v>11</v>
      </c>
    </row>
    <row r="7" spans="1:46" ht="14.65" customHeight="1">
      <c r="C7" s="22"/>
      <c r="D7" s="1249" t="s">
        <v>300</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3"/>
      <c r="AE7" s="1203" t="s">
        <v>301</v>
      </c>
      <c r="AF7" s="1203" t="s">
        <v>301</v>
      </c>
      <c r="AG7" s="1203" t="s">
        <v>301</v>
      </c>
      <c r="AH7" s="1203" t="s">
        <v>301</v>
      </c>
      <c r="AT7" s="10">
        <v>14</v>
      </c>
    </row>
    <row r="8" spans="1:46" ht="27.4" customHeight="1">
      <c r="C8" s="22"/>
      <c r="D8" s="1146" t="s">
        <v>86</v>
      </c>
      <c r="E8" s="1203" t="str">
        <f>"Наименование "&amp;IF(TEMPLATE_SPHERE&lt;&gt;"HEAT","централизованной ","")&amp;"системы "&amp;TEMPLATE_SPHERE_RUS</f>
        <v>Наименование централизованной системы холодного водоснабжения</v>
      </c>
      <c r="F8" s="1203" t="str">
        <f>IF(TEMPLATE_SPHERE&lt;&gt;"HEAT","Регулируемый вид деятельности","Вид регулируемой деятельности")</f>
        <v>Регулируемый вид деятельности</v>
      </c>
      <c r="G8" s="469"/>
      <c r="H8" s="1250" t="s">
        <v>357</v>
      </c>
      <c r="I8" s="1254" t="s">
        <v>358</v>
      </c>
      <c r="J8" s="1203" t="s">
        <v>359</v>
      </c>
      <c r="K8" s="1203"/>
      <c r="L8" s="1203"/>
      <c r="M8" s="1249"/>
      <c r="N8" s="1203" t="s">
        <v>360</v>
      </c>
      <c r="O8" s="1203"/>
      <c r="P8" s="1203" t="s">
        <v>361</v>
      </c>
      <c r="Q8" s="1203"/>
      <c r="R8" s="1252" t="s">
        <v>362</v>
      </c>
      <c r="S8" s="467"/>
      <c r="T8" s="1250" t="s">
        <v>363</v>
      </c>
      <c r="U8" s="1250" t="s">
        <v>364</v>
      </c>
      <c r="V8" s="1250" t="s">
        <v>365</v>
      </c>
      <c r="W8" s="469"/>
      <c r="X8" s="1250" t="s">
        <v>366</v>
      </c>
      <c r="Y8" s="1250" t="s">
        <v>367</v>
      </c>
      <c r="Z8" s="1250" t="s">
        <v>368</v>
      </c>
      <c r="AA8" s="469"/>
      <c r="AB8" s="1250" t="s">
        <v>369</v>
      </c>
      <c r="AC8" s="1250" t="s">
        <v>362</v>
      </c>
      <c r="AD8" s="469"/>
      <c r="AE8" s="1203"/>
      <c r="AF8" s="1203"/>
      <c r="AG8" s="1203"/>
      <c r="AH8" s="1203"/>
      <c r="AT8" s="10">
        <v>26</v>
      </c>
    </row>
    <row r="9" spans="1:46" ht="46.15" customHeight="1">
      <c r="C9" s="22"/>
      <c r="D9" s="1146"/>
      <c r="E9" s="1203"/>
      <c r="F9" s="1203"/>
      <c r="G9" s="470"/>
      <c r="H9" s="1251"/>
      <c r="I9" s="1255"/>
      <c r="J9" s="38" t="s">
        <v>370</v>
      </c>
      <c r="K9" s="38" t="s">
        <v>371</v>
      </c>
      <c r="L9" s="38" t="s">
        <v>372</v>
      </c>
      <c r="M9" s="236" t="s">
        <v>373</v>
      </c>
      <c r="N9" s="38" t="s">
        <v>374</v>
      </c>
      <c r="O9" s="38" t="s">
        <v>373</v>
      </c>
      <c r="P9" s="38" t="s">
        <v>375</v>
      </c>
      <c r="Q9" s="38" t="s">
        <v>373</v>
      </c>
      <c r="R9" s="1253"/>
      <c r="S9" s="468"/>
      <c r="T9" s="1251"/>
      <c r="U9" s="1251"/>
      <c r="V9" s="1251"/>
      <c r="W9" s="470"/>
      <c r="X9" s="1251"/>
      <c r="Y9" s="1251"/>
      <c r="Z9" s="1251"/>
      <c r="AA9" s="470"/>
      <c r="AB9" s="1251"/>
      <c r="AC9" s="1251"/>
      <c r="AD9" s="470"/>
      <c r="AE9" s="1203"/>
      <c r="AF9" s="1203"/>
      <c r="AG9" s="1203"/>
      <c r="AH9" s="1203"/>
      <c r="AT9" s="10">
        <v>44</v>
      </c>
    </row>
    <row r="10" spans="1:46" ht="12" hidden="1" customHeight="1">
      <c r="C10" s="277"/>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10"/>
      <c r="AP10" s="66"/>
      <c r="AQ10" s="66"/>
      <c r="AT10" s="10">
        <v>0</v>
      </c>
    </row>
    <row r="11" spans="1:46" s="200" customFormat="1" ht="11.25" hidden="1" customHeight="1">
      <c r="C11" s="283"/>
      <c r="D11" s="284" t="s">
        <v>376</v>
      </c>
      <c r="E11" s="284"/>
      <c r="F11" s="284"/>
      <c r="G11" s="284"/>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70"/>
      <c r="AF11" s="70"/>
      <c r="AG11" s="70"/>
      <c r="AH11" s="70"/>
      <c r="AJ11" s="65"/>
      <c r="AK11" s="65"/>
      <c r="AL11" s="65"/>
      <c r="AM11" s="65"/>
      <c r="AN11" s="65"/>
      <c r="AO11" s="65"/>
      <c r="AP11" s="65"/>
      <c r="AQ11" s="65"/>
      <c r="AR11" s="65"/>
      <c r="AS11" s="65"/>
      <c r="AT11" s="200">
        <v>0</v>
      </c>
    </row>
    <row r="12" spans="1:46" ht="14.65" customHeight="1">
      <c r="A12" s="10"/>
      <c r="C12" s="22"/>
      <c r="D12" s="239" t="s">
        <v>107</v>
      </c>
      <c r="E12" s="399" t="s">
        <v>28</v>
      </c>
      <c r="F12" s="489"/>
      <c r="G12" s="490"/>
      <c r="H12" s="363"/>
      <c r="I12" s="363"/>
      <c r="J12" s="238"/>
      <c r="K12" s="1006"/>
      <c r="L12" s="237"/>
      <c r="M12" s="1006"/>
      <c r="N12" s="238"/>
      <c r="O12" s="1006"/>
      <c r="P12" s="238"/>
      <c r="Q12" s="1006"/>
      <c r="R12" s="238"/>
      <c r="S12" s="488"/>
      <c r="T12" s="363"/>
      <c r="U12" s="238"/>
      <c r="V12" s="238"/>
      <c r="W12" s="470"/>
      <c r="X12" s="363"/>
      <c r="Y12" s="238"/>
      <c r="Z12" s="238"/>
      <c r="AA12" s="470"/>
      <c r="AB12" s="363"/>
      <c r="AC12" s="238"/>
      <c r="AD12" s="470"/>
      <c r="AE12" s="1256" t="s">
        <v>377</v>
      </c>
      <c r="AF12" s="1256" t="s">
        <v>378</v>
      </c>
      <c r="AG12" s="1256" t="s">
        <v>379</v>
      </c>
      <c r="AH12" s="1256" t="s">
        <v>380</v>
      </c>
      <c r="AI12" s="10"/>
      <c r="AP12" s="66" t="s">
        <v>381</v>
      </c>
      <c r="AQ12" s="66" t="s">
        <v>381</v>
      </c>
      <c r="AT12" s="10">
        <v>14</v>
      </c>
    </row>
    <row r="13" spans="1:46" ht="18" customHeight="1">
      <c r="A13" s="10"/>
      <c r="C13" s="22"/>
      <c r="D13" s="152"/>
      <c r="E13" s="502" t="str">
        <f>IF(TITLE_DIFFERENTIATION_TYPE="нет","","Добавить систему")</f>
        <v/>
      </c>
      <c r="F13" s="502" t="str">
        <f>IF(TITLE_DIFFERENTIATION_TYPE="нет","Добавить вид деятельности","")</f>
        <v>Добавить вид деятельности</v>
      </c>
      <c r="G13" s="179"/>
      <c r="H13" s="229"/>
      <c r="I13" s="229"/>
      <c r="J13" s="229"/>
      <c r="K13" s="229"/>
      <c r="L13" s="229"/>
      <c r="M13" s="229"/>
      <c r="N13" s="229"/>
      <c r="O13" s="229"/>
      <c r="P13" s="229"/>
      <c r="Q13" s="229"/>
      <c r="R13" s="229"/>
      <c r="S13" s="229"/>
      <c r="T13" s="229"/>
      <c r="U13" s="229"/>
      <c r="V13" s="229"/>
      <c r="W13" s="229"/>
      <c r="X13" s="229"/>
      <c r="Y13" s="229"/>
      <c r="Z13" s="229"/>
      <c r="AA13" s="229"/>
      <c r="AB13" s="229"/>
      <c r="AC13" s="229"/>
      <c r="AD13" s="491"/>
      <c r="AE13" s="1257"/>
      <c r="AF13" s="1257"/>
      <c r="AG13" s="1257"/>
      <c r="AH13" s="1257"/>
      <c r="AI13" s="10"/>
      <c r="AT13" s="10">
        <v>17</v>
      </c>
    </row>
    <row r="14" spans="1:46" ht="14.65" customHeight="1">
      <c r="AI14" s="10"/>
      <c r="AT14" s="10">
        <v>14</v>
      </c>
    </row>
    <row r="15" spans="1:46" ht="14.65" customHeight="1">
      <c r="AT15" s="10">
        <v>14</v>
      </c>
    </row>
    <row r="16" spans="1:46" ht="14.65" customHeight="1">
      <c r="AT16" s="10">
        <v>14</v>
      </c>
    </row>
    <row r="17" spans="1:46" ht="14.65" customHeight="1">
      <c r="AT17" s="10">
        <v>14</v>
      </c>
    </row>
    <row r="18" spans="1:46" ht="22.5" hidden="1" customHeight="1">
      <c r="A18" s="7" t="s">
        <v>80</v>
      </c>
      <c r="B18" s="10">
        <v>0</v>
      </c>
      <c r="C18" s="74">
        <v>3</v>
      </c>
      <c r="D18" s="10">
        <v>5</v>
      </c>
      <c r="E18" s="10">
        <v>48</v>
      </c>
      <c r="F18" s="10">
        <v>38</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44">
        <v>3</v>
      </c>
      <c r="AJ18" s="65">
        <v>10</v>
      </c>
      <c r="AK18" s="65">
        <v>10</v>
      </c>
      <c r="AL18" s="65">
        <v>10</v>
      </c>
      <c r="AM18" s="65">
        <v>0</v>
      </c>
      <c r="AN18" s="65">
        <v>15</v>
      </c>
      <c r="AO18" s="65">
        <v>16</v>
      </c>
      <c r="AP18" s="65">
        <v>10</v>
      </c>
      <c r="AQ18" s="65">
        <v>10</v>
      </c>
      <c r="AR18" s="65">
        <v>10</v>
      </c>
      <c r="AS18" s="65">
        <v>10</v>
      </c>
      <c r="AT18" s="10">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91"/>
  </cols>
  <sheetData>
    <row r="1" spans="1:2" ht="11.25" customHeight="1">
      <c r="A1" s="91" t="s">
        <v>128</v>
      </c>
      <c r="B1" s="91" t="s">
        <v>5261</v>
      </c>
    </row>
    <row r="2" spans="1:2" ht="11.25" customHeight="1">
      <c r="A2" s="91" t="s">
        <v>96</v>
      </c>
      <c r="B2" s="91" t="s">
        <v>5262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5263</v>
      </c>
      <c r="B1" s="31" t="s">
        <v>5264</v>
      </c>
    </row>
    <row r="2" spans="1:2" ht="11.25" customHeight="1">
      <c r="A2" s="31">
        <v>4213775</v>
      </c>
      <c r="B2" s="31" t="s">
        <v>1220</v>
      </c>
    </row>
    <row r="3" spans="1:2" ht="11.25" customHeight="1">
      <c r="A3" s="31">
        <v>4213784</v>
      </c>
      <c r="B3" s="31" t="s">
        <v>1254</v>
      </c>
    </row>
    <row r="4" spans="1:2" ht="11.25" customHeight="1">
      <c r="A4" s="31">
        <v>4213781</v>
      </c>
      <c r="B4" s="31" t="s">
        <v>1247</v>
      </c>
    </row>
    <row r="5" spans="1:2" ht="11.25" customHeight="1">
      <c r="A5" s="31">
        <v>4213776</v>
      </c>
      <c r="B5" s="31" t="s">
        <v>164</v>
      </c>
    </row>
    <row r="6" spans="1:2" ht="11.25" customHeight="1">
      <c r="A6" s="31">
        <v>4213777</v>
      </c>
      <c r="B6" s="31" t="s">
        <v>170</v>
      </c>
    </row>
    <row r="7" spans="1:2" ht="11.25" customHeight="1">
      <c r="A7" s="31">
        <v>4213778</v>
      </c>
      <c r="B7" s="31" t="s">
        <v>176</v>
      </c>
    </row>
    <row r="8" spans="1:2" ht="11.25" customHeight="1">
      <c r="A8" s="31">
        <v>4213780</v>
      </c>
      <c r="B8" s="31" t="s">
        <v>182</v>
      </c>
    </row>
    <row r="9" spans="1:2" ht="11.25" customHeight="1">
      <c r="A9" s="31">
        <v>4213779</v>
      </c>
      <c r="B9" s="31" t="s">
        <v>1388</v>
      </c>
    </row>
    <row r="10" spans="1:2" ht="11.25" customHeight="1">
      <c r="A10" s="31">
        <v>4213783</v>
      </c>
      <c r="B10" s="31" t="s">
        <v>1403</v>
      </c>
    </row>
    <row r="11" spans="1:2" ht="11.25" customHeight="1">
      <c r="A11" s="31">
        <v>4213782</v>
      </c>
      <c r="B11" s="31" t="s">
        <v>188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5263</v>
      </c>
      <c r="B1" s="31" t="s">
        <v>5265</v>
      </c>
    </row>
    <row r="2" spans="1:2" ht="11.25" customHeight="1">
      <c r="A2" s="31" t="s">
        <v>5266</v>
      </c>
      <c r="B2" s="31" t="s">
        <v>1501</v>
      </c>
    </row>
    <row r="3" spans="1:2" ht="11.25" customHeight="1">
      <c r="A3" s="31" t="s">
        <v>5267</v>
      </c>
      <c r="B3" s="31" t="s">
        <v>1511</v>
      </c>
    </row>
    <row r="4" spans="1:2" ht="11.25" customHeight="1">
      <c r="A4" s="31" t="s">
        <v>5268</v>
      </c>
      <c r="B4" s="31" t="s">
        <v>1520</v>
      </c>
    </row>
    <row r="5" spans="1:2" ht="11.25" customHeight="1">
      <c r="A5" s="31" t="s">
        <v>5269</v>
      </c>
      <c r="B5" s="31" t="s">
        <v>1529</v>
      </c>
    </row>
    <row r="6" spans="1:2" ht="11.25" customHeight="1">
      <c r="A6" s="31" t="s">
        <v>5270</v>
      </c>
      <c r="B6" s="31" t="s">
        <v>1535</v>
      </c>
    </row>
    <row r="7" spans="1:2" ht="11.25" customHeight="1">
      <c r="A7" s="31" t="s">
        <v>5271</v>
      </c>
      <c r="B7" s="31" t="s">
        <v>1543</v>
      </c>
    </row>
    <row r="8" spans="1:2" ht="11.25" customHeight="1">
      <c r="A8" s="31" t="s">
        <v>5272</v>
      </c>
      <c r="B8" s="31" t="s">
        <v>1550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9"/>
  <sheetViews>
    <sheetView showGridLines="0" workbookViewId="0"/>
  </sheetViews>
  <sheetFormatPr defaultRowHeight="11.25" customHeight="1"/>
  <sheetData>
    <row r="1" spans="1:7" ht="11.25" customHeight="1">
      <c r="A1" t="s">
        <v>4794</v>
      </c>
      <c r="B1" t="s">
        <v>4795</v>
      </c>
      <c r="C1" t="s">
        <v>4796</v>
      </c>
      <c r="D1" t="s">
        <v>4797</v>
      </c>
      <c r="E1" t="s">
        <v>4798</v>
      </c>
      <c r="F1" t="s">
        <v>4799</v>
      </c>
      <c r="G1" t="s">
        <v>4800</v>
      </c>
    </row>
    <row r="2" spans="1:7" ht="11.25" customHeight="1">
      <c r="A2" t="s">
        <v>16</v>
      </c>
      <c r="B2" t="s">
        <v>4801</v>
      </c>
      <c r="C2" t="s">
        <v>4802</v>
      </c>
      <c r="D2" t="s">
        <v>4801</v>
      </c>
      <c r="E2" t="s">
        <v>4802</v>
      </c>
      <c r="F2" t="s">
        <v>4803</v>
      </c>
      <c r="G2" t="s">
        <v>107</v>
      </c>
    </row>
    <row r="3" spans="1:7" ht="11.25" customHeight="1">
      <c r="A3" t="s">
        <v>16</v>
      </c>
      <c r="B3" t="s">
        <v>4804</v>
      </c>
      <c r="C3" t="s">
        <v>4805</v>
      </c>
      <c r="D3" t="s">
        <v>4804</v>
      </c>
      <c r="E3" t="s">
        <v>4805</v>
      </c>
      <c r="F3" t="s">
        <v>4806</v>
      </c>
      <c r="G3" t="s">
        <v>108</v>
      </c>
    </row>
    <row r="4" spans="1:7" ht="11.25" customHeight="1">
      <c r="A4" t="s">
        <v>16</v>
      </c>
      <c r="B4" t="s">
        <v>4807</v>
      </c>
      <c r="C4" t="s">
        <v>4808</v>
      </c>
      <c r="D4" t="s">
        <v>4807</v>
      </c>
      <c r="E4" t="s">
        <v>4808</v>
      </c>
      <c r="F4" t="s">
        <v>4803</v>
      </c>
      <c r="G4" t="s">
        <v>88</v>
      </c>
    </row>
    <row r="5" spans="1:7" ht="11.25" customHeight="1">
      <c r="A5" t="s">
        <v>16</v>
      </c>
      <c r="B5" t="s">
        <v>4809</v>
      </c>
      <c r="C5" t="s">
        <v>4810</v>
      </c>
      <c r="D5" t="s">
        <v>4809</v>
      </c>
      <c r="E5" t="s">
        <v>4810</v>
      </c>
      <c r="F5" t="s">
        <v>4806</v>
      </c>
      <c r="G5" t="s">
        <v>89</v>
      </c>
    </row>
    <row r="6" spans="1:7" ht="11.25" customHeight="1">
      <c r="A6" t="s">
        <v>16</v>
      </c>
      <c r="B6" t="s">
        <v>4811</v>
      </c>
      <c r="C6" t="s">
        <v>4812</v>
      </c>
      <c r="D6" t="s">
        <v>4811</v>
      </c>
      <c r="E6" t="s">
        <v>4812</v>
      </c>
      <c r="F6" t="s">
        <v>4803</v>
      </c>
      <c r="G6" t="s">
        <v>109</v>
      </c>
    </row>
    <row r="7" spans="1:7" ht="11.25" customHeight="1">
      <c r="A7" t="s">
        <v>16</v>
      </c>
      <c r="B7" t="s">
        <v>4813</v>
      </c>
      <c r="C7" t="s">
        <v>4814</v>
      </c>
      <c r="D7" t="s">
        <v>4813</v>
      </c>
      <c r="E7" t="s">
        <v>4814</v>
      </c>
      <c r="F7" t="s">
        <v>4806</v>
      </c>
      <c r="G7" t="s">
        <v>90</v>
      </c>
    </row>
    <row r="8" spans="1:7" ht="11.25" customHeight="1">
      <c r="A8" t="s">
        <v>16</v>
      </c>
      <c r="B8" t="s">
        <v>4815</v>
      </c>
      <c r="C8" t="s">
        <v>4816</v>
      </c>
      <c r="D8" t="s">
        <v>4815</v>
      </c>
      <c r="E8" t="s">
        <v>4816</v>
      </c>
      <c r="F8" t="s">
        <v>4803</v>
      </c>
      <c r="G8" t="s">
        <v>91</v>
      </c>
    </row>
    <row r="9" spans="1:7" ht="11.25" customHeight="1">
      <c r="A9" t="s">
        <v>16</v>
      </c>
      <c r="B9" t="s">
        <v>4817</v>
      </c>
      <c r="C9" t="s">
        <v>4818</v>
      </c>
      <c r="D9" t="s">
        <v>4817</v>
      </c>
      <c r="E9" t="s">
        <v>4818</v>
      </c>
      <c r="F9" t="s">
        <v>4806</v>
      </c>
      <c r="G9" t="s">
        <v>110</v>
      </c>
    </row>
    <row r="10" spans="1:7" ht="11.25" customHeight="1">
      <c r="A10" t="s">
        <v>16</v>
      </c>
      <c r="B10" t="s">
        <v>4819</v>
      </c>
      <c r="C10" t="s">
        <v>4820</v>
      </c>
      <c r="D10" t="s">
        <v>4819</v>
      </c>
      <c r="E10" t="s">
        <v>4820</v>
      </c>
      <c r="F10" t="s">
        <v>4803</v>
      </c>
      <c r="G10" t="s">
        <v>146</v>
      </c>
    </row>
    <row r="11" spans="1:7" ht="11.25" customHeight="1">
      <c r="A11" t="s">
        <v>16</v>
      </c>
      <c r="B11" t="s">
        <v>4821</v>
      </c>
      <c r="C11" t="s">
        <v>4822</v>
      </c>
      <c r="D11" t="s">
        <v>4821</v>
      </c>
      <c r="E11" t="s">
        <v>4822</v>
      </c>
      <c r="F11" t="s">
        <v>4806</v>
      </c>
      <c r="G11" t="s">
        <v>147</v>
      </c>
    </row>
    <row r="12" spans="1:7" ht="11.25" customHeight="1">
      <c r="A12" t="s">
        <v>16</v>
      </c>
      <c r="B12" t="s">
        <v>4823</v>
      </c>
      <c r="C12" t="s">
        <v>4824</v>
      </c>
      <c r="D12" t="s">
        <v>4825</v>
      </c>
      <c r="E12" t="s">
        <v>4826</v>
      </c>
      <c r="F12" t="s">
        <v>4827</v>
      </c>
      <c r="G12" t="s">
        <v>148</v>
      </c>
    </row>
    <row r="13" spans="1:7" ht="11.25" customHeight="1">
      <c r="A13" t="s">
        <v>16</v>
      </c>
      <c r="B13" t="s">
        <v>4823</v>
      </c>
      <c r="C13" t="s">
        <v>4824</v>
      </c>
      <c r="D13" t="s">
        <v>4823</v>
      </c>
      <c r="E13" t="s">
        <v>4824</v>
      </c>
      <c r="F13" t="s">
        <v>4828</v>
      </c>
      <c r="G13" t="s">
        <v>149</v>
      </c>
    </row>
    <row r="14" spans="1:7" ht="11.25" customHeight="1">
      <c r="A14" t="s">
        <v>16</v>
      </c>
      <c r="B14" t="s">
        <v>4823</v>
      </c>
      <c r="C14" t="s">
        <v>4824</v>
      </c>
      <c r="D14" t="s">
        <v>4829</v>
      </c>
      <c r="E14" t="s">
        <v>4830</v>
      </c>
      <c r="F14" t="s">
        <v>4827</v>
      </c>
      <c r="G14" t="s">
        <v>150</v>
      </c>
    </row>
    <row r="15" spans="1:7" ht="11.25" customHeight="1">
      <c r="A15" t="s">
        <v>16</v>
      </c>
      <c r="B15" t="s">
        <v>4823</v>
      </c>
      <c r="C15" t="s">
        <v>4824</v>
      </c>
      <c r="D15" t="s">
        <v>4831</v>
      </c>
      <c r="E15" t="s">
        <v>4832</v>
      </c>
      <c r="F15" t="s">
        <v>4827</v>
      </c>
      <c r="G15" t="s">
        <v>151</v>
      </c>
    </row>
    <row r="16" spans="1:7" ht="11.25" customHeight="1">
      <c r="A16" t="s">
        <v>16</v>
      </c>
      <c r="B16" t="s">
        <v>4833</v>
      </c>
      <c r="C16" t="s">
        <v>4834</v>
      </c>
      <c r="D16" t="s">
        <v>4833</v>
      </c>
      <c r="E16" t="s">
        <v>4834</v>
      </c>
      <c r="F16" t="s">
        <v>4803</v>
      </c>
      <c r="G16" t="s">
        <v>1463</v>
      </c>
    </row>
    <row r="17" spans="1:7" ht="11.25" customHeight="1">
      <c r="A17" t="s">
        <v>16</v>
      </c>
      <c r="B17" t="s">
        <v>4835</v>
      </c>
      <c r="C17" t="s">
        <v>4836</v>
      </c>
      <c r="D17" t="s">
        <v>4835</v>
      </c>
      <c r="E17" t="s">
        <v>4836</v>
      </c>
      <c r="F17" t="s">
        <v>4806</v>
      </c>
      <c r="G17" t="s">
        <v>1469</v>
      </c>
    </row>
    <row r="18" spans="1:7" ht="11.25" customHeight="1">
      <c r="A18" t="s">
        <v>16</v>
      </c>
      <c r="B18" t="s">
        <v>4837</v>
      </c>
      <c r="C18" t="s">
        <v>4838</v>
      </c>
      <c r="D18" t="s">
        <v>4837</v>
      </c>
      <c r="E18" t="s">
        <v>4838</v>
      </c>
      <c r="F18" t="s">
        <v>4803</v>
      </c>
      <c r="G18" t="s">
        <v>1481</v>
      </c>
    </row>
    <row r="19" spans="1:7" ht="11.25" customHeight="1">
      <c r="A19" t="s">
        <v>16</v>
      </c>
      <c r="B19" t="s">
        <v>98</v>
      </c>
      <c r="C19" t="s">
        <v>99</v>
      </c>
      <c r="D19" t="s">
        <v>98</v>
      </c>
      <c r="E19" t="s">
        <v>99</v>
      </c>
      <c r="F19" t="s">
        <v>4806</v>
      </c>
      <c r="G19" t="s">
        <v>97</v>
      </c>
    </row>
    <row r="20" spans="1:7" ht="11.25" customHeight="1">
      <c r="A20" t="s">
        <v>16</v>
      </c>
      <c r="B20" t="s">
        <v>4839</v>
      </c>
      <c r="C20" t="s">
        <v>4840</v>
      </c>
      <c r="D20" t="s">
        <v>4839</v>
      </c>
      <c r="E20" t="s">
        <v>4840</v>
      </c>
      <c r="F20" t="s">
        <v>4803</v>
      </c>
      <c r="G20" t="s">
        <v>1506</v>
      </c>
    </row>
    <row r="21" spans="1:7" ht="11.25" customHeight="1">
      <c r="A21" t="s">
        <v>16</v>
      </c>
      <c r="B21" t="s">
        <v>4841</v>
      </c>
      <c r="C21" t="s">
        <v>4842</v>
      </c>
      <c r="D21" t="s">
        <v>4841</v>
      </c>
      <c r="E21" t="s">
        <v>4842</v>
      </c>
      <c r="F21" t="s">
        <v>4806</v>
      </c>
      <c r="G21" t="s">
        <v>1515</v>
      </c>
    </row>
    <row r="22" spans="1:7" ht="11.25" customHeight="1">
      <c r="A22" t="s">
        <v>16</v>
      </c>
      <c r="B22" t="s">
        <v>4843</v>
      </c>
      <c r="C22" t="s">
        <v>4844</v>
      </c>
      <c r="D22" t="s">
        <v>4843</v>
      </c>
      <c r="E22" t="s">
        <v>4844</v>
      </c>
      <c r="F22" t="s">
        <v>4803</v>
      </c>
      <c r="G22" t="s">
        <v>1531</v>
      </c>
    </row>
    <row r="23" spans="1:7" ht="11.25" customHeight="1">
      <c r="A23" t="s">
        <v>16</v>
      </c>
      <c r="B23" t="s">
        <v>4845</v>
      </c>
      <c r="C23" t="s">
        <v>4846</v>
      </c>
      <c r="D23" t="s">
        <v>4845</v>
      </c>
      <c r="E23" t="s">
        <v>4846</v>
      </c>
      <c r="F23" t="s">
        <v>4803</v>
      </c>
      <c r="G23" t="s">
        <v>1538</v>
      </c>
    </row>
    <row r="24" spans="1:7" ht="11.25" customHeight="1">
      <c r="A24" t="s">
        <v>16</v>
      </c>
      <c r="B24" t="s">
        <v>4847</v>
      </c>
      <c r="C24" t="s">
        <v>4848</v>
      </c>
      <c r="D24" t="s">
        <v>4847</v>
      </c>
      <c r="E24" t="s">
        <v>4848</v>
      </c>
      <c r="F24" t="s">
        <v>4806</v>
      </c>
      <c r="G24" t="s">
        <v>1546</v>
      </c>
    </row>
    <row r="25" spans="1:7" ht="11.25" customHeight="1">
      <c r="A25" t="s">
        <v>16</v>
      </c>
      <c r="B25" t="s">
        <v>4849</v>
      </c>
      <c r="C25" t="s">
        <v>4850</v>
      </c>
      <c r="D25" t="s">
        <v>4849</v>
      </c>
      <c r="E25" t="s">
        <v>4850</v>
      </c>
      <c r="F25" t="s">
        <v>4803</v>
      </c>
      <c r="G25" t="s">
        <v>1553</v>
      </c>
    </row>
    <row r="26" spans="1:7" ht="11.25" customHeight="1">
      <c r="A26" t="s">
        <v>16</v>
      </c>
      <c r="B26" t="s">
        <v>4851</v>
      </c>
      <c r="C26" t="s">
        <v>4852</v>
      </c>
      <c r="D26" t="s">
        <v>4851</v>
      </c>
      <c r="E26" t="s">
        <v>4852</v>
      </c>
      <c r="F26" t="s">
        <v>4803</v>
      </c>
      <c r="G26" t="s">
        <v>1557</v>
      </c>
    </row>
    <row r="27" spans="1:7" ht="11.25" customHeight="1">
      <c r="A27" t="s">
        <v>16</v>
      </c>
      <c r="B27" t="s">
        <v>4853</v>
      </c>
      <c r="C27" t="s">
        <v>4854</v>
      </c>
      <c r="D27" t="s">
        <v>4853</v>
      </c>
      <c r="E27" t="s">
        <v>4854</v>
      </c>
      <c r="F27" t="s">
        <v>4803</v>
      </c>
      <c r="G27" t="s">
        <v>1562</v>
      </c>
    </row>
    <row r="28" spans="1:7" ht="11.25" customHeight="1">
      <c r="A28" t="s">
        <v>16</v>
      </c>
      <c r="B28" t="s">
        <v>4855</v>
      </c>
      <c r="C28" t="s">
        <v>4856</v>
      </c>
      <c r="D28" t="s">
        <v>4855</v>
      </c>
      <c r="E28" t="s">
        <v>4856</v>
      </c>
      <c r="F28" t="s">
        <v>4806</v>
      </c>
      <c r="G28" t="s">
        <v>1570</v>
      </c>
    </row>
    <row r="29" spans="1:7" ht="11.25" customHeight="1">
      <c r="A29" t="s">
        <v>16</v>
      </c>
      <c r="B29" t="s">
        <v>4857</v>
      </c>
      <c r="C29" t="s">
        <v>4858</v>
      </c>
      <c r="D29" t="s">
        <v>4857</v>
      </c>
      <c r="E29" t="s">
        <v>4858</v>
      </c>
      <c r="F29" t="s">
        <v>4803</v>
      </c>
      <c r="G29" t="s">
        <v>1572</v>
      </c>
    </row>
    <row r="30" spans="1:7" ht="11.25" customHeight="1">
      <c r="A30" t="s">
        <v>16</v>
      </c>
      <c r="B30" t="s">
        <v>4859</v>
      </c>
      <c r="C30" t="s">
        <v>4860</v>
      </c>
      <c r="D30" t="s">
        <v>4859</v>
      </c>
      <c r="E30" t="s">
        <v>4860</v>
      </c>
      <c r="F30" t="s">
        <v>4806</v>
      </c>
      <c r="G30" t="s">
        <v>1575</v>
      </c>
    </row>
    <row r="31" spans="1:7" ht="11.25" customHeight="1">
      <c r="A31" t="s">
        <v>16</v>
      </c>
      <c r="B31" t="s">
        <v>4861</v>
      </c>
      <c r="C31" t="s">
        <v>4862</v>
      </c>
      <c r="D31" t="s">
        <v>4861</v>
      </c>
      <c r="E31" t="s">
        <v>4862</v>
      </c>
      <c r="F31" t="s">
        <v>4803</v>
      </c>
      <c r="G31" t="s">
        <v>1581</v>
      </c>
    </row>
    <row r="32" spans="1:7" ht="11.25" customHeight="1">
      <c r="A32" t="s">
        <v>16</v>
      </c>
      <c r="B32" t="s">
        <v>4863</v>
      </c>
      <c r="C32" t="s">
        <v>4864</v>
      </c>
      <c r="D32" t="s">
        <v>4863</v>
      </c>
      <c r="E32" t="s">
        <v>4864</v>
      </c>
      <c r="F32" t="s">
        <v>4806</v>
      </c>
      <c r="G32" t="s">
        <v>1583</v>
      </c>
    </row>
    <row r="33" spans="1:7" ht="11.25" customHeight="1">
      <c r="A33" t="s">
        <v>16</v>
      </c>
      <c r="B33" t="s">
        <v>4865</v>
      </c>
      <c r="C33" t="s">
        <v>4866</v>
      </c>
      <c r="D33" t="s">
        <v>4865</v>
      </c>
      <c r="E33" t="s">
        <v>4866</v>
      </c>
      <c r="F33" t="s">
        <v>4806</v>
      </c>
      <c r="G33" t="s">
        <v>1585</v>
      </c>
    </row>
    <row r="34" spans="1:7" ht="11.25" customHeight="1">
      <c r="A34" t="s">
        <v>16</v>
      </c>
      <c r="B34" t="s">
        <v>4867</v>
      </c>
      <c r="C34" t="s">
        <v>4868</v>
      </c>
      <c r="D34" t="s">
        <v>4867</v>
      </c>
      <c r="E34" t="s">
        <v>4868</v>
      </c>
      <c r="F34" t="s">
        <v>4803</v>
      </c>
      <c r="G34" t="s">
        <v>1587</v>
      </c>
    </row>
    <row r="35" spans="1:7" ht="11.25" customHeight="1">
      <c r="A35" t="s">
        <v>16</v>
      </c>
      <c r="B35" t="s">
        <v>4869</v>
      </c>
      <c r="C35" t="s">
        <v>4870</v>
      </c>
      <c r="D35" t="s">
        <v>4869</v>
      </c>
      <c r="E35" t="s">
        <v>4870</v>
      </c>
      <c r="F35" t="s">
        <v>4803</v>
      </c>
      <c r="G35" t="s">
        <v>1592</v>
      </c>
    </row>
    <row r="36" spans="1:7" ht="11.25" customHeight="1">
      <c r="A36" t="s">
        <v>16</v>
      </c>
      <c r="B36" t="s">
        <v>4871</v>
      </c>
      <c r="C36" t="s">
        <v>4872</v>
      </c>
      <c r="D36" t="s">
        <v>4871</v>
      </c>
      <c r="E36" t="s">
        <v>4872</v>
      </c>
      <c r="F36" t="s">
        <v>4803</v>
      </c>
      <c r="G36" t="s">
        <v>1597</v>
      </c>
    </row>
    <row r="37" spans="1:7" ht="11.25" customHeight="1">
      <c r="A37" t="s">
        <v>16</v>
      </c>
      <c r="B37" t="s">
        <v>4873</v>
      </c>
      <c r="C37" t="s">
        <v>4874</v>
      </c>
      <c r="D37" t="s">
        <v>4873</v>
      </c>
      <c r="E37" t="s">
        <v>4874</v>
      </c>
      <c r="F37" t="s">
        <v>4806</v>
      </c>
      <c r="G37" t="s">
        <v>1601</v>
      </c>
    </row>
    <row r="38" spans="1:7" ht="11.25" customHeight="1">
      <c r="A38" t="s">
        <v>16</v>
      </c>
      <c r="B38" t="s">
        <v>4875</v>
      </c>
      <c r="C38" t="s">
        <v>4876</v>
      </c>
      <c r="D38" t="s">
        <v>4875</v>
      </c>
      <c r="E38" t="s">
        <v>4876</v>
      </c>
      <c r="F38" t="s">
        <v>4803</v>
      </c>
      <c r="G38" t="s">
        <v>1609</v>
      </c>
    </row>
    <row r="39" spans="1:7" ht="11.25" customHeight="1">
      <c r="A39" t="s">
        <v>16</v>
      </c>
      <c r="B39" t="s">
        <v>4877</v>
      </c>
      <c r="C39" t="s">
        <v>4878</v>
      </c>
      <c r="D39" t="s">
        <v>4877</v>
      </c>
      <c r="E39" t="s">
        <v>4878</v>
      </c>
      <c r="F39" t="s">
        <v>4806</v>
      </c>
      <c r="G39" t="s">
        <v>1615</v>
      </c>
    </row>
    <row r="40" spans="1:7" ht="11.25" customHeight="1">
      <c r="A40" t="s">
        <v>16</v>
      </c>
      <c r="B40" t="s">
        <v>4879</v>
      </c>
      <c r="C40" t="s">
        <v>4880</v>
      </c>
      <c r="D40" t="s">
        <v>4879</v>
      </c>
      <c r="E40" t="s">
        <v>4880</v>
      </c>
      <c r="F40" t="s">
        <v>4803</v>
      </c>
      <c r="G40" t="s">
        <v>1620</v>
      </c>
    </row>
    <row r="41" spans="1:7" ht="11.25" customHeight="1">
      <c r="A41" t="s">
        <v>16</v>
      </c>
      <c r="B41" t="s">
        <v>4881</v>
      </c>
      <c r="C41" t="s">
        <v>4882</v>
      </c>
      <c r="D41" t="s">
        <v>4881</v>
      </c>
      <c r="E41" t="s">
        <v>4882</v>
      </c>
      <c r="F41" t="s">
        <v>4806</v>
      </c>
      <c r="G41" t="s">
        <v>1624</v>
      </c>
    </row>
    <row r="42" spans="1:7" ht="11.25" customHeight="1">
      <c r="A42" t="s">
        <v>16</v>
      </c>
      <c r="B42" t="s">
        <v>4883</v>
      </c>
      <c r="C42" t="s">
        <v>4884</v>
      </c>
      <c r="D42" t="s">
        <v>4883</v>
      </c>
      <c r="E42" t="s">
        <v>4884</v>
      </c>
      <c r="F42" t="s">
        <v>4806</v>
      </c>
      <c r="G42" t="s">
        <v>1627</v>
      </c>
    </row>
    <row r="43" spans="1:7" ht="11.25" customHeight="1">
      <c r="A43" t="s">
        <v>16</v>
      </c>
      <c r="B43" t="s">
        <v>4885</v>
      </c>
      <c r="C43" t="s">
        <v>4886</v>
      </c>
      <c r="D43" t="s">
        <v>4885</v>
      </c>
      <c r="E43" t="s">
        <v>4886</v>
      </c>
      <c r="F43" t="s">
        <v>4803</v>
      </c>
      <c r="G43" t="s">
        <v>1634</v>
      </c>
    </row>
    <row r="44" spans="1:7" ht="11.25" customHeight="1">
      <c r="A44" t="s">
        <v>16</v>
      </c>
      <c r="B44" t="s">
        <v>4887</v>
      </c>
      <c r="C44" t="s">
        <v>4888</v>
      </c>
      <c r="D44" t="s">
        <v>4887</v>
      </c>
      <c r="E44" t="s">
        <v>4888</v>
      </c>
      <c r="F44" t="s">
        <v>4803</v>
      </c>
      <c r="G44" t="s">
        <v>1643</v>
      </c>
    </row>
    <row r="45" spans="1:7" ht="11.25" customHeight="1">
      <c r="A45" t="s">
        <v>16</v>
      </c>
      <c r="B45" t="s">
        <v>4889</v>
      </c>
      <c r="C45" t="s">
        <v>4890</v>
      </c>
      <c r="D45" t="s">
        <v>4889</v>
      </c>
      <c r="E45" t="s">
        <v>4890</v>
      </c>
      <c r="F45" t="s">
        <v>4806</v>
      </c>
      <c r="G45" t="s">
        <v>1648</v>
      </c>
    </row>
    <row r="46" spans="1:7" ht="11.25" customHeight="1">
      <c r="A46" t="s">
        <v>16</v>
      </c>
      <c r="B46" t="s">
        <v>4891</v>
      </c>
      <c r="C46" t="s">
        <v>4892</v>
      </c>
      <c r="D46" t="s">
        <v>4891</v>
      </c>
      <c r="E46" t="s">
        <v>4892</v>
      </c>
      <c r="F46" t="s">
        <v>4803</v>
      </c>
      <c r="G46" t="s">
        <v>1652</v>
      </c>
    </row>
    <row r="47" spans="1:7" ht="11.25" customHeight="1">
      <c r="A47" t="s">
        <v>16</v>
      </c>
      <c r="B47" t="s">
        <v>4893</v>
      </c>
      <c r="C47" t="s">
        <v>4894</v>
      </c>
      <c r="D47" t="s">
        <v>4893</v>
      </c>
      <c r="E47" t="s">
        <v>4894</v>
      </c>
      <c r="F47" t="s">
        <v>4806</v>
      </c>
      <c r="G47" t="s">
        <v>1658</v>
      </c>
    </row>
    <row r="48" spans="1:7" ht="11.25" customHeight="1">
      <c r="A48" t="s">
        <v>16</v>
      </c>
      <c r="B48" t="s">
        <v>4895</v>
      </c>
      <c r="C48" t="s">
        <v>4896</v>
      </c>
      <c r="D48" t="s">
        <v>4895</v>
      </c>
      <c r="E48" t="s">
        <v>4896</v>
      </c>
      <c r="F48" t="s">
        <v>4803</v>
      </c>
      <c r="G48" t="s">
        <v>1663</v>
      </c>
    </row>
    <row r="49" spans="1:7" ht="11.25" customHeight="1">
      <c r="A49" t="s">
        <v>16</v>
      </c>
      <c r="B49" t="s">
        <v>4897</v>
      </c>
      <c r="C49" t="s">
        <v>4898</v>
      </c>
      <c r="D49" t="s">
        <v>4897</v>
      </c>
      <c r="E49" t="s">
        <v>4898</v>
      </c>
      <c r="F49" t="s">
        <v>4803</v>
      </c>
      <c r="G49" t="s">
        <v>1666</v>
      </c>
    </row>
    <row r="50" spans="1:7" ht="11.25" customHeight="1">
      <c r="A50" t="s">
        <v>16</v>
      </c>
      <c r="B50" t="s">
        <v>4899</v>
      </c>
      <c r="C50" t="s">
        <v>4900</v>
      </c>
      <c r="D50" t="s">
        <v>4899</v>
      </c>
      <c r="E50" t="s">
        <v>4900</v>
      </c>
      <c r="F50" t="s">
        <v>4803</v>
      </c>
      <c r="G50" t="s">
        <v>1669</v>
      </c>
    </row>
    <row r="51" spans="1:7" ht="11.25" customHeight="1">
      <c r="A51" t="s">
        <v>16</v>
      </c>
      <c r="B51" t="s">
        <v>4901</v>
      </c>
      <c r="C51" t="s">
        <v>4902</v>
      </c>
      <c r="D51" t="s">
        <v>4901</v>
      </c>
      <c r="E51" t="s">
        <v>4902</v>
      </c>
      <c r="F51" t="s">
        <v>4803</v>
      </c>
      <c r="G51" t="s">
        <v>1674</v>
      </c>
    </row>
    <row r="52" spans="1:7" ht="11.25" customHeight="1">
      <c r="A52" t="s">
        <v>16</v>
      </c>
      <c r="B52" t="s">
        <v>4903</v>
      </c>
      <c r="C52" t="s">
        <v>4904</v>
      </c>
      <c r="D52" t="s">
        <v>4903</v>
      </c>
      <c r="E52" t="s">
        <v>4904</v>
      </c>
      <c r="F52" t="s">
        <v>4806</v>
      </c>
      <c r="G52" t="s">
        <v>1678</v>
      </c>
    </row>
    <row r="53" spans="1:7" ht="11.25" customHeight="1">
      <c r="A53" t="s">
        <v>16</v>
      </c>
      <c r="B53" t="s">
        <v>4905</v>
      </c>
      <c r="C53" t="s">
        <v>4906</v>
      </c>
      <c r="D53" t="s">
        <v>4905</v>
      </c>
      <c r="E53" t="s">
        <v>4906</v>
      </c>
      <c r="F53" t="s">
        <v>4803</v>
      </c>
      <c r="G53" t="s">
        <v>1680</v>
      </c>
    </row>
    <row r="54" spans="1:7" ht="11.25" customHeight="1">
      <c r="A54" t="s">
        <v>16</v>
      </c>
      <c r="B54" t="s">
        <v>4907</v>
      </c>
      <c r="C54" t="s">
        <v>4908</v>
      </c>
      <c r="D54" t="s">
        <v>4907</v>
      </c>
      <c r="E54" t="s">
        <v>4908</v>
      </c>
      <c r="F54" t="s">
        <v>4806</v>
      </c>
      <c r="G54" t="s">
        <v>1683</v>
      </c>
    </row>
    <row r="55" spans="1:7" ht="11.25" customHeight="1">
      <c r="A55" t="s">
        <v>16</v>
      </c>
      <c r="B55" t="s">
        <v>4909</v>
      </c>
      <c r="C55" t="s">
        <v>4910</v>
      </c>
      <c r="D55" t="s">
        <v>4909</v>
      </c>
      <c r="E55" t="s">
        <v>4910</v>
      </c>
      <c r="F55" t="s">
        <v>4803</v>
      </c>
      <c r="G55" t="s">
        <v>1687</v>
      </c>
    </row>
    <row r="56" spans="1:7" ht="11.25" customHeight="1">
      <c r="A56" t="s">
        <v>16</v>
      </c>
      <c r="B56" t="s">
        <v>4911</v>
      </c>
      <c r="C56" t="s">
        <v>4912</v>
      </c>
      <c r="D56" t="s">
        <v>4911</v>
      </c>
      <c r="E56" t="s">
        <v>4912</v>
      </c>
      <c r="F56" t="s">
        <v>4806</v>
      </c>
      <c r="G56" t="s">
        <v>1690</v>
      </c>
    </row>
    <row r="57" spans="1:7" ht="11.25" customHeight="1">
      <c r="A57" t="s">
        <v>16</v>
      </c>
      <c r="B57" t="s">
        <v>4913</v>
      </c>
      <c r="C57" t="s">
        <v>4914</v>
      </c>
      <c r="D57" t="s">
        <v>4913</v>
      </c>
      <c r="E57" t="s">
        <v>4914</v>
      </c>
      <c r="F57" t="s">
        <v>4803</v>
      </c>
      <c r="G57" t="s">
        <v>1693</v>
      </c>
    </row>
    <row r="58" spans="1:7" ht="11.25" customHeight="1">
      <c r="A58" t="s">
        <v>16</v>
      </c>
      <c r="B58" t="s">
        <v>4915</v>
      </c>
      <c r="C58" t="s">
        <v>4916</v>
      </c>
      <c r="D58" t="s">
        <v>4915</v>
      </c>
      <c r="E58" t="s">
        <v>4916</v>
      </c>
      <c r="F58" t="s">
        <v>4806</v>
      </c>
      <c r="G58" t="s">
        <v>1696</v>
      </c>
    </row>
    <row r="59" spans="1:7" ht="11.25" customHeight="1">
      <c r="A59" t="s">
        <v>16</v>
      </c>
      <c r="B59" t="s">
        <v>4917</v>
      </c>
      <c r="C59" t="s">
        <v>4918</v>
      </c>
      <c r="D59" t="s">
        <v>4919</v>
      </c>
      <c r="E59" t="s">
        <v>4920</v>
      </c>
      <c r="F59" t="s">
        <v>4921</v>
      </c>
      <c r="G59" t="s">
        <v>1700</v>
      </c>
    </row>
    <row r="60" spans="1:7" ht="11.25" customHeight="1">
      <c r="A60" t="s">
        <v>16</v>
      </c>
      <c r="B60" t="s">
        <v>4917</v>
      </c>
      <c r="C60" t="s">
        <v>4918</v>
      </c>
      <c r="D60" t="s">
        <v>4922</v>
      </c>
      <c r="E60" t="s">
        <v>4923</v>
      </c>
      <c r="F60" t="s">
        <v>4827</v>
      </c>
      <c r="G60" t="s">
        <v>1703</v>
      </c>
    </row>
    <row r="61" spans="1:7" ht="11.25" customHeight="1">
      <c r="A61" t="s">
        <v>16</v>
      </c>
      <c r="B61" t="s">
        <v>4917</v>
      </c>
      <c r="C61" t="s">
        <v>4918</v>
      </c>
      <c r="D61" t="s">
        <v>4924</v>
      </c>
      <c r="E61" t="s">
        <v>4925</v>
      </c>
      <c r="F61" t="s">
        <v>4926</v>
      </c>
      <c r="G61" t="s">
        <v>4927</v>
      </c>
    </row>
    <row r="62" spans="1:7" ht="11.25" customHeight="1">
      <c r="A62" t="s">
        <v>16</v>
      </c>
      <c r="B62" t="s">
        <v>4917</v>
      </c>
      <c r="C62" t="s">
        <v>4918</v>
      </c>
      <c r="D62" t="s">
        <v>4917</v>
      </c>
      <c r="E62" t="s">
        <v>4918</v>
      </c>
      <c r="F62" t="s">
        <v>4828</v>
      </c>
      <c r="G62" t="s">
        <v>4928</v>
      </c>
    </row>
    <row r="63" spans="1:7" ht="11.25" customHeight="1">
      <c r="A63" t="s">
        <v>16</v>
      </c>
      <c r="B63" t="s">
        <v>4917</v>
      </c>
      <c r="C63" t="s">
        <v>4918</v>
      </c>
      <c r="D63" t="s">
        <v>4929</v>
      </c>
      <c r="E63" t="s">
        <v>4930</v>
      </c>
      <c r="F63" t="s">
        <v>4926</v>
      </c>
      <c r="G63" t="s">
        <v>4931</v>
      </c>
    </row>
    <row r="64" spans="1:7" ht="11.25" customHeight="1">
      <c r="A64" t="s">
        <v>16</v>
      </c>
      <c r="B64" t="s">
        <v>4917</v>
      </c>
      <c r="C64" t="s">
        <v>4918</v>
      </c>
      <c r="D64" t="s">
        <v>4932</v>
      </c>
      <c r="E64" t="s">
        <v>4933</v>
      </c>
      <c r="F64" t="s">
        <v>4921</v>
      </c>
      <c r="G64" t="s">
        <v>4934</v>
      </c>
    </row>
    <row r="65" spans="1:7" ht="11.25" customHeight="1">
      <c r="A65" t="s">
        <v>16</v>
      </c>
      <c r="B65" t="s">
        <v>4917</v>
      </c>
      <c r="C65" t="s">
        <v>4918</v>
      </c>
      <c r="D65" t="s">
        <v>4935</v>
      </c>
      <c r="E65" t="s">
        <v>4936</v>
      </c>
      <c r="F65" t="s">
        <v>4921</v>
      </c>
      <c r="G65" t="s">
        <v>4937</v>
      </c>
    </row>
    <row r="66" spans="1:7" ht="11.25" customHeight="1">
      <c r="A66" t="s">
        <v>16</v>
      </c>
      <c r="B66" t="s">
        <v>4938</v>
      </c>
      <c r="C66" t="s">
        <v>4939</v>
      </c>
      <c r="D66" t="s">
        <v>4938</v>
      </c>
      <c r="E66" t="s">
        <v>4939</v>
      </c>
      <c r="F66" t="s">
        <v>4803</v>
      </c>
      <c r="G66" t="s">
        <v>4940</v>
      </c>
    </row>
    <row r="67" spans="1:7" ht="11.25" customHeight="1">
      <c r="A67" t="s">
        <v>16</v>
      </c>
      <c r="B67" t="s">
        <v>4941</v>
      </c>
      <c r="C67" t="s">
        <v>4942</v>
      </c>
      <c r="D67" t="s">
        <v>4941</v>
      </c>
      <c r="E67" t="s">
        <v>4942</v>
      </c>
      <c r="F67" t="s">
        <v>4806</v>
      </c>
      <c r="G67" t="s">
        <v>2020</v>
      </c>
    </row>
    <row r="68" spans="1:7" ht="11.25" customHeight="1">
      <c r="A68" t="s">
        <v>16</v>
      </c>
      <c r="B68" t="s">
        <v>4943</v>
      </c>
      <c r="C68" t="s">
        <v>4944</v>
      </c>
      <c r="D68" t="s">
        <v>4943</v>
      </c>
      <c r="E68" t="s">
        <v>4944</v>
      </c>
      <c r="F68" t="s">
        <v>4803</v>
      </c>
      <c r="G68" t="s">
        <v>4945</v>
      </c>
    </row>
    <row r="69" spans="1:7" ht="11.25" customHeight="1">
      <c r="A69" t="s">
        <v>16</v>
      </c>
      <c r="B69" t="s">
        <v>4946</v>
      </c>
      <c r="C69" t="s">
        <v>4947</v>
      </c>
      <c r="D69" t="s">
        <v>4946</v>
      </c>
      <c r="E69" t="s">
        <v>4947</v>
      </c>
      <c r="F69" t="s">
        <v>4803</v>
      </c>
      <c r="G69" t="s">
        <v>2223</v>
      </c>
    </row>
    <row r="70" spans="1:7" ht="11.25" customHeight="1">
      <c r="A70" t="s">
        <v>16</v>
      </c>
      <c r="B70" t="s">
        <v>4948</v>
      </c>
      <c r="C70" t="s">
        <v>4949</v>
      </c>
      <c r="D70" t="s">
        <v>4948</v>
      </c>
      <c r="E70" t="s">
        <v>4949</v>
      </c>
      <c r="F70" t="s">
        <v>4806</v>
      </c>
      <c r="G70" t="s">
        <v>4950</v>
      </c>
    </row>
    <row r="71" spans="1:7" ht="11.25" customHeight="1">
      <c r="A71" t="s">
        <v>16</v>
      </c>
      <c r="B71" t="s">
        <v>4951</v>
      </c>
      <c r="C71" t="s">
        <v>4952</v>
      </c>
      <c r="D71" t="s">
        <v>4951</v>
      </c>
      <c r="E71" t="s">
        <v>4952</v>
      </c>
      <c r="F71" t="s">
        <v>4806</v>
      </c>
      <c r="G71" t="s">
        <v>4953</v>
      </c>
    </row>
    <row r="72" spans="1:7" ht="11.25" customHeight="1">
      <c r="A72" t="s">
        <v>16</v>
      </c>
      <c r="B72" t="s">
        <v>4954</v>
      </c>
      <c r="C72" t="s">
        <v>4955</v>
      </c>
      <c r="D72" t="s">
        <v>4954</v>
      </c>
      <c r="E72" t="s">
        <v>4955</v>
      </c>
      <c r="F72" t="s">
        <v>4803</v>
      </c>
      <c r="G72" t="s">
        <v>4956</v>
      </c>
    </row>
    <row r="73" spans="1:7" ht="11.25" customHeight="1">
      <c r="A73" t="s">
        <v>16</v>
      </c>
      <c r="B73" t="s">
        <v>4957</v>
      </c>
      <c r="C73" t="s">
        <v>4958</v>
      </c>
      <c r="D73" t="s">
        <v>4957</v>
      </c>
      <c r="E73" t="s">
        <v>4958</v>
      </c>
      <c r="F73" t="s">
        <v>4803</v>
      </c>
      <c r="G73" t="s">
        <v>4959</v>
      </c>
    </row>
    <row r="74" spans="1:7" ht="11.25" customHeight="1">
      <c r="A74" t="s">
        <v>16</v>
      </c>
      <c r="B74" t="s">
        <v>4960</v>
      </c>
      <c r="C74" t="s">
        <v>4961</v>
      </c>
      <c r="D74" t="s">
        <v>4960</v>
      </c>
      <c r="E74" t="s">
        <v>4961</v>
      </c>
      <c r="F74" t="s">
        <v>4803</v>
      </c>
      <c r="G74" t="s">
        <v>4962</v>
      </c>
    </row>
    <row r="75" spans="1:7" ht="11.25" customHeight="1">
      <c r="A75" t="s">
        <v>16</v>
      </c>
      <c r="B75" t="s">
        <v>4963</v>
      </c>
      <c r="C75" t="s">
        <v>4964</v>
      </c>
      <c r="D75" t="s">
        <v>4963</v>
      </c>
      <c r="E75" t="s">
        <v>4964</v>
      </c>
      <c r="F75" t="s">
        <v>4806</v>
      </c>
      <c r="G75" t="s">
        <v>4965</v>
      </c>
    </row>
    <row r="76" spans="1:7" ht="11.25" customHeight="1">
      <c r="A76" t="s">
        <v>16</v>
      </c>
      <c r="B76" t="s">
        <v>4966</v>
      </c>
      <c r="C76" t="s">
        <v>4967</v>
      </c>
      <c r="D76" t="s">
        <v>4966</v>
      </c>
      <c r="E76" t="s">
        <v>4967</v>
      </c>
      <c r="F76" t="s">
        <v>4803</v>
      </c>
      <c r="G76" t="s">
        <v>4968</v>
      </c>
    </row>
    <row r="77" spans="1:7" ht="11.25" customHeight="1">
      <c r="A77" t="s">
        <v>16</v>
      </c>
      <c r="B77" t="s">
        <v>4969</v>
      </c>
      <c r="C77" t="s">
        <v>4970</v>
      </c>
      <c r="D77" t="s">
        <v>4969</v>
      </c>
      <c r="E77" t="s">
        <v>4970</v>
      </c>
      <c r="F77" t="s">
        <v>4806</v>
      </c>
      <c r="G77" t="s">
        <v>4971</v>
      </c>
    </row>
    <row r="78" spans="1:7" ht="11.25" customHeight="1">
      <c r="A78" t="s">
        <v>16</v>
      </c>
      <c r="B78" t="s">
        <v>4972</v>
      </c>
      <c r="C78" t="s">
        <v>4973</v>
      </c>
      <c r="D78" t="s">
        <v>4972</v>
      </c>
      <c r="E78" t="s">
        <v>4973</v>
      </c>
      <c r="F78" t="s">
        <v>4803</v>
      </c>
      <c r="G78" t="s">
        <v>4974</v>
      </c>
    </row>
    <row r="79" spans="1:7" ht="11.25" customHeight="1">
      <c r="A79" t="s">
        <v>16</v>
      </c>
      <c r="B79" t="s">
        <v>4975</v>
      </c>
      <c r="C79" t="s">
        <v>4976</v>
      </c>
      <c r="D79" t="s">
        <v>4975</v>
      </c>
      <c r="E79" t="s">
        <v>4976</v>
      </c>
      <c r="F79" t="s">
        <v>4803</v>
      </c>
      <c r="G79" t="s">
        <v>4977</v>
      </c>
    </row>
    <row r="80" spans="1:7" ht="11.25" customHeight="1">
      <c r="A80" t="s">
        <v>16</v>
      </c>
      <c r="B80" t="s">
        <v>4978</v>
      </c>
      <c r="C80" t="s">
        <v>4979</v>
      </c>
      <c r="D80" t="s">
        <v>4978</v>
      </c>
      <c r="E80" t="s">
        <v>4979</v>
      </c>
      <c r="F80" t="s">
        <v>4806</v>
      </c>
      <c r="G80" t="s">
        <v>4980</v>
      </c>
    </row>
    <row r="81" spans="1:7" ht="11.25" customHeight="1">
      <c r="A81" t="s">
        <v>16</v>
      </c>
      <c r="B81" t="s">
        <v>4981</v>
      </c>
      <c r="C81" t="s">
        <v>4982</v>
      </c>
      <c r="D81" t="s">
        <v>4981</v>
      </c>
      <c r="E81" t="s">
        <v>4982</v>
      </c>
      <c r="F81" t="s">
        <v>4803</v>
      </c>
      <c r="G81" t="s">
        <v>4983</v>
      </c>
    </row>
    <row r="82" spans="1:7" ht="11.25" customHeight="1">
      <c r="A82" t="s">
        <v>16</v>
      </c>
      <c r="B82" t="s">
        <v>4984</v>
      </c>
      <c r="C82" t="s">
        <v>4985</v>
      </c>
      <c r="D82" t="s">
        <v>4984</v>
      </c>
      <c r="E82" t="s">
        <v>4985</v>
      </c>
      <c r="F82" t="s">
        <v>4806</v>
      </c>
      <c r="G82" t="s">
        <v>4986</v>
      </c>
    </row>
    <row r="83" spans="1:7" ht="11.25" customHeight="1">
      <c r="A83" t="s">
        <v>16</v>
      </c>
      <c r="B83" t="s">
        <v>4987</v>
      </c>
      <c r="C83" t="s">
        <v>4988</v>
      </c>
      <c r="D83" t="s">
        <v>4987</v>
      </c>
      <c r="E83" t="s">
        <v>4988</v>
      </c>
      <c r="F83" t="s">
        <v>4803</v>
      </c>
      <c r="G83" t="s">
        <v>4989</v>
      </c>
    </row>
    <row r="84" spans="1:7" ht="11.25" customHeight="1">
      <c r="A84" t="s">
        <v>16</v>
      </c>
      <c r="B84" t="s">
        <v>4990</v>
      </c>
      <c r="C84" t="s">
        <v>4991</v>
      </c>
      <c r="D84" t="s">
        <v>4990</v>
      </c>
      <c r="E84" t="s">
        <v>4991</v>
      </c>
      <c r="F84" t="s">
        <v>4806</v>
      </c>
      <c r="G84" t="s">
        <v>4992</v>
      </c>
    </row>
    <row r="85" spans="1:7" ht="11.25" customHeight="1">
      <c r="A85" t="s">
        <v>16</v>
      </c>
      <c r="B85" t="s">
        <v>4993</v>
      </c>
      <c r="C85" t="s">
        <v>4994</v>
      </c>
      <c r="D85" t="s">
        <v>4995</v>
      </c>
      <c r="E85" t="s">
        <v>4996</v>
      </c>
      <c r="F85" t="s">
        <v>4827</v>
      </c>
      <c r="G85" t="s">
        <v>4997</v>
      </c>
    </row>
    <row r="86" spans="1:7" ht="11.25" customHeight="1">
      <c r="A86" t="s">
        <v>16</v>
      </c>
      <c r="B86" t="s">
        <v>4993</v>
      </c>
      <c r="C86" t="s">
        <v>4994</v>
      </c>
      <c r="D86" t="s">
        <v>4998</v>
      </c>
      <c r="E86" t="s">
        <v>4999</v>
      </c>
      <c r="F86" t="s">
        <v>4827</v>
      </c>
      <c r="G86" t="s">
        <v>5000</v>
      </c>
    </row>
    <row r="87" spans="1:7" ht="11.25" customHeight="1">
      <c r="A87" t="s">
        <v>16</v>
      </c>
      <c r="B87" t="s">
        <v>4993</v>
      </c>
      <c r="C87" t="s">
        <v>4994</v>
      </c>
      <c r="D87" t="s">
        <v>4993</v>
      </c>
      <c r="E87" t="s">
        <v>4994</v>
      </c>
      <c r="F87" t="s">
        <v>4828</v>
      </c>
      <c r="G87" t="s">
        <v>5001</v>
      </c>
    </row>
    <row r="88" spans="1:7" ht="11.25" customHeight="1">
      <c r="A88" t="s">
        <v>16</v>
      </c>
      <c r="B88" t="s">
        <v>4993</v>
      </c>
      <c r="C88" t="s">
        <v>4994</v>
      </c>
      <c r="D88" t="s">
        <v>5002</v>
      </c>
      <c r="E88" t="s">
        <v>5003</v>
      </c>
      <c r="F88" t="s">
        <v>4827</v>
      </c>
      <c r="G88" t="s">
        <v>5004</v>
      </c>
    </row>
    <row r="89" spans="1:7" ht="11.25" customHeight="1">
      <c r="A89" t="s">
        <v>16</v>
      </c>
      <c r="B89" t="s">
        <v>4993</v>
      </c>
      <c r="C89" t="s">
        <v>4994</v>
      </c>
      <c r="D89" t="s">
        <v>5005</v>
      </c>
      <c r="E89" t="s">
        <v>5006</v>
      </c>
      <c r="F89" t="s">
        <v>4827</v>
      </c>
      <c r="G89" t="s">
        <v>5007</v>
      </c>
    </row>
    <row r="90" spans="1:7" ht="11.25" customHeight="1">
      <c r="A90" t="s">
        <v>16</v>
      </c>
      <c r="B90" t="s">
        <v>5008</v>
      </c>
      <c r="C90" t="s">
        <v>5009</v>
      </c>
      <c r="D90" t="s">
        <v>5008</v>
      </c>
      <c r="E90" t="s">
        <v>5009</v>
      </c>
      <c r="F90" t="s">
        <v>4803</v>
      </c>
      <c r="G90" t="s">
        <v>5010</v>
      </c>
    </row>
    <row r="91" spans="1:7" ht="11.25" customHeight="1">
      <c r="A91" t="s">
        <v>16</v>
      </c>
      <c r="B91" t="s">
        <v>5011</v>
      </c>
      <c r="C91" t="s">
        <v>5012</v>
      </c>
      <c r="D91" t="s">
        <v>5011</v>
      </c>
      <c r="E91" t="s">
        <v>5012</v>
      </c>
      <c r="F91" t="s">
        <v>4806</v>
      </c>
      <c r="G91" t="s">
        <v>5013</v>
      </c>
    </row>
    <row r="92" spans="1:7" ht="11.25" customHeight="1">
      <c r="A92" t="s">
        <v>16</v>
      </c>
      <c r="B92" t="s">
        <v>5014</v>
      </c>
      <c r="C92" t="s">
        <v>5015</v>
      </c>
      <c r="D92" t="s">
        <v>5014</v>
      </c>
      <c r="E92" t="s">
        <v>5015</v>
      </c>
      <c r="F92" t="s">
        <v>4803</v>
      </c>
      <c r="G92" t="s">
        <v>5016</v>
      </c>
    </row>
    <row r="93" spans="1:7" ht="11.25" customHeight="1">
      <c r="A93" t="s">
        <v>16</v>
      </c>
      <c r="B93" t="s">
        <v>5017</v>
      </c>
      <c r="C93" t="s">
        <v>5018</v>
      </c>
      <c r="D93" t="s">
        <v>5017</v>
      </c>
      <c r="E93" t="s">
        <v>5018</v>
      </c>
      <c r="F93" t="s">
        <v>4803</v>
      </c>
      <c r="G93" t="s">
        <v>5019</v>
      </c>
    </row>
    <row r="94" spans="1:7" ht="11.25" customHeight="1">
      <c r="A94" t="s">
        <v>16</v>
      </c>
      <c r="B94" t="s">
        <v>5020</v>
      </c>
      <c r="C94" t="s">
        <v>5021</v>
      </c>
      <c r="D94" t="s">
        <v>5020</v>
      </c>
      <c r="E94" t="s">
        <v>5021</v>
      </c>
      <c r="F94" t="s">
        <v>4803</v>
      </c>
      <c r="G94" t="s">
        <v>5022</v>
      </c>
    </row>
    <row r="95" spans="1:7" ht="11.25" customHeight="1">
      <c r="A95" t="s">
        <v>16</v>
      </c>
      <c r="B95" t="s">
        <v>5023</v>
      </c>
      <c r="C95" t="s">
        <v>5024</v>
      </c>
      <c r="D95" t="s">
        <v>5023</v>
      </c>
      <c r="E95" t="s">
        <v>5024</v>
      </c>
      <c r="F95" t="s">
        <v>4803</v>
      </c>
      <c r="G95" t="s">
        <v>5025</v>
      </c>
    </row>
    <row r="96" spans="1:7" ht="11.25" customHeight="1">
      <c r="A96" t="s">
        <v>16</v>
      </c>
      <c r="B96" t="s">
        <v>5026</v>
      </c>
      <c r="C96" t="s">
        <v>5027</v>
      </c>
      <c r="D96" t="s">
        <v>5026</v>
      </c>
      <c r="E96" t="s">
        <v>5027</v>
      </c>
      <c r="F96" t="s">
        <v>4806</v>
      </c>
      <c r="G96" t="s">
        <v>5028</v>
      </c>
    </row>
    <row r="97" spans="1:7" ht="11.25" customHeight="1">
      <c r="A97" t="s">
        <v>16</v>
      </c>
      <c r="B97" t="s">
        <v>5029</v>
      </c>
      <c r="C97" t="s">
        <v>5030</v>
      </c>
      <c r="D97" t="s">
        <v>5031</v>
      </c>
      <c r="E97" t="s">
        <v>5032</v>
      </c>
      <c r="F97" t="s">
        <v>4827</v>
      </c>
      <c r="G97" t="s">
        <v>5033</v>
      </c>
    </row>
    <row r="98" spans="1:7" ht="11.25" customHeight="1">
      <c r="A98" t="s">
        <v>16</v>
      </c>
      <c r="B98" t="s">
        <v>5029</v>
      </c>
      <c r="C98" t="s">
        <v>5030</v>
      </c>
      <c r="D98" t="s">
        <v>5034</v>
      </c>
      <c r="E98" t="s">
        <v>5035</v>
      </c>
      <c r="F98" t="s">
        <v>5036</v>
      </c>
      <c r="G98" t="s">
        <v>5037</v>
      </c>
    </row>
    <row r="99" spans="1:7" ht="11.25" customHeight="1">
      <c r="A99" t="s">
        <v>16</v>
      </c>
      <c r="B99" t="s">
        <v>5029</v>
      </c>
      <c r="C99" t="s">
        <v>5030</v>
      </c>
      <c r="D99" t="s">
        <v>5029</v>
      </c>
      <c r="E99" t="s">
        <v>5030</v>
      </c>
      <c r="F99" t="s">
        <v>4828</v>
      </c>
      <c r="G99" t="s">
        <v>5038</v>
      </c>
    </row>
    <row r="100" spans="1:7" ht="11.25" customHeight="1">
      <c r="A100" t="s">
        <v>16</v>
      </c>
      <c r="B100" t="s">
        <v>5029</v>
      </c>
      <c r="C100" t="s">
        <v>5030</v>
      </c>
      <c r="D100" t="s">
        <v>5039</v>
      </c>
      <c r="E100" t="s">
        <v>5040</v>
      </c>
      <c r="F100" t="s">
        <v>4827</v>
      </c>
      <c r="G100" t="s">
        <v>5041</v>
      </c>
    </row>
    <row r="101" spans="1:7" ht="11.25" customHeight="1">
      <c r="A101" t="s">
        <v>16</v>
      </c>
      <c r="B101" t="s">
        <v>5029</v>
      </c>
      <c r="C101" t="s">
        <v>5030</v>
      </c>
      <c r="D101" t="s">
        <v>5042</v>
      </c>
      <c r="E101" t="s">
        <v>5043</v>
      </c>
      <c r="F101" t="s">
        <v>4827</v>
      </c>
      <c r="G101" t="s">
        <v>5044</v>
      </c>
    </row>
    <row r="102" spans="1:7" ht="11.25" customHeight="1">
      <c r="A102" t="s">
        <v>16</v>
      </c>
      <c r="B102" t="s">
        <v>5045</v>
      </c>
      <c r="C102" t="s">
        <v>5046</v>
      </c>
      <c r="D102" t="s">
        <v>5045</v>
      </c>
      <c r="E102" t="s">
        <v>5046</v>
      </c>
      <c r="F102" t="s">
        <v>4803</v>
      </c>
      <c r="G102" t="s">
        <v>5047</v>
      </c>
    </row>
    <row r="103" spans="1:7" ht="11.25" customHeight="1">
      <c r="A103" t="s">
        <v>16</v>
      </c>
      <c r="B103" t="s">
        <v>5048</v>
      </c>
      <c r="C103" t="s">
        <v>5049</v>
      </c>
      <c r="D103" t="s">
        <v>5048</v>
      </c>
      <c r="E103" t="s">
        <v>5049</v>
      </c>
      <c r="F103" t="s">
        <v>4806</v>
      </c>
      <c r="G103" t="s">
        <v>5050</v>
      </c>
    </row>
    <row r="104" spans="1:7" ht="11.25" customHeight="1">
      <c r="A104" t="s">
        <v>16</v>
      </c>
      <c r="B104" t="s">
        <v>5051</v>
      </c>
      <c r="C104" t="s">
        <v>5052</v>
      </c>
      <c r="D104" t="s">
        <v>5051</v>
      </c>
      <c r="E104" t="s">
        <v>5052</v>
      </c>
      <c r="F104" t="s">
        <v>4803</v>
      </c>
      <c r="G104" t="s">
        <v>5053</v>
      </c>
    </row>
    <row r="105" spans="1:7" ht="11.25" customHeight="1">
      <c r="A105" t="s">
        <v>16</v>
      </c>
      <c r="B105" t="s">
        <v>5054</v>
      </c>
      <c r="C105" t="s">
        <v>5055</v>
      </c>
      <c r="D105" t="s">
        <v>5054</v>
      </c>
      <c r="E105" t="s">
        <v>5055</v>
      </c>
      <c r="F105" t="s">
        <v>4806</v>
      </c>
      <c r="G105" t="s">
        <v>5056</v>
      </c>
    </row>
    <row r="106" spans="1:7" ht="11.25" customHeight="1">
      <c r="A106" t="s">
        <v>16</v>
      </c>
      <c r="B106" t="s">
        <v>5057</v>
      </c>
      <c r="C106" t="s">
        <v>5058</v>
      </c>
      <c r="D106" t="s">
        <v>5057</v>
      </c>
      <c r="E106" t="s">
        <v>5058</v>
      </c>
      <c r="F106" t="s">
        <v>4803</v>
      </c>
      <c r="G106" t="s">
        <v>5059</v>
      </c>
    </row>
    <row r="107" spans="1:7" ht="11.25" customHeight="1">
      <c r="A107" t="s">
        <v>16</v>
      </c>
      <c r="B107" t="s">
        <v>5060</v>
      </c>
      <c r="C107" t="s">
        <v>5061</v>
      </c>
      <c r="D107" t="s">
        <v>5060</v>
      </c>
      <c r="E107" t="s">
        <v>5061</v>
      </c>
      <c r="F107" t="s">
        <v>4806</v>
      </c>
      <c r="G107" t="s">
        <v>5062</v>
      </c>
    </row>
    <row r="108" spans="1:7" ht="11.25" customHeight="1">
      <c r="A108" t="s">
        <v>16</v>
      </c>
      <c r="B108" t="s">
        <v>5063</v>
      </c>
      <c r="C108" t="s">
        <v>5064</v>
      </c>
      <c r="D108" t="s">
        <v>5063</v>
      </c>
      <c r="E108" t="s">
        <v>5064</v>
      </c>
      <c r="F108" t="s">
        <v>4803</v>
      </c>
      <c r="G108" t="s">
        <v>5065</v>
      </c>
    </row>
    <row r="109" spans="1:7" ht="11.25" customHeight="1">
      <c r="A109" t="s">
        <v>16</v>
      </c>
      <c r="B109" t="s">
        <v>5066</v>
      </c>
      <c r="C109" t="s">
        <v>5067</v>
      </c>
      <c r="D109" t="s">
        <v>5066</v>
      </c>
      <c r="E109" t="s">
        <v>5067</v>
      </c>
      <c r="F109" t="s">
        <v>4806</v>
      </c>
      <c r="G109" t="s">
        <v>5068</v>
      </c>
    </row>
    <row r="110" spans="1:7" ht="11.25" customHeight="1">
      <c r="A110" t="s">
        <v>16</v>
      </c>
      <c r="B110" t="s">
        <v>5069</v>
      </c>
      <c r="C110" t="s">
        <v>5070</v>
      </c>
      <c r="D110" t="s">
        <v>5069</v>
      </c>
      <c r="E110" t="s">
        <v>5070</v>
      </c>
      <c r="F110" t="s">
        <v>4803</v>
      </c>
      <c r="G110" t="s">
        <v>5071</v>
      </c>
    </row>
    <row r="111" spans="1:7" ht="11.25" customHeight="1">
      <c r="A111" t="s">
        <v>16</v>
      </c>
      <c r="B111" t="s">
        <v>5072</v>
      </c>
      <c r="C111" t="s">
        <v>5073</v>
      </c>
      <c r="D111" t="s">
        <v>5072</v>
      </c>
      <c r="E111" t="s">
        <v>5073</v>
      </c>
      <c r="F111" t="s">
        <v>4806</v>
      </c>
      <c r="G111" t="s">
        <v>5074</v>
      </c>
    </row>
    <row r="112" spans="1:7" ht="11.25" customHeight="1">
      <c r="A112" t="s">
        <v>16</v>
      </c>
      <c r="B112" t="s">
        <v>5075</v>
      </c>
      <c r="C112" t="s">
        <v>5076</v>
      </c>
      <c r="D112" t="s">
        <v>5075</v>
      </c>
      <c r="E112" t="s">
        <v>5076</v>
      </c>
      <c r="F112" t="s">
        <v>4803</v>
      </c>
      <c r="G112" t="s">
        <v>5077</v>
      </c>
    </row>
    <row r="113" spans="1:7" ht="11.25" customHeight="1">
      <c r="A113" t="s">
        <v>16</v>
      </c>
      <c r="B113" t="s">
        <v>5078</v>
      </c>
      <c r="C113" t="s">
        <v>5079</v>
      </c>
      <c r="D113" t="s">
        <v>5078</v>
      </c>
      <c r="E113" t="s">
        <v>5079</v>
      </c>
      <c r="F113" t="s">
        <v>4806</v>
      </c>
      <c r="G113" t="s">
        <v>5080</v>
      </c>
    </row>
    <row r="114" spans="1:7" ht="11.25" customHeight="1">
      <c r="A114" t="s">
        <v>16</v>
      </c>
      <c r="B114" t="s">
        <v>5081</v>
      </c>
      <c r="C114" t="s">
        <v>5082</v>
      </c>
      <c r="D114" t="s">
        <v>5081</v>
      </c>
      <c r="E114" t="s">
        <v>5082</v>
      </c>
      <c r="F114" t="s">
        <v>4803</v>
      </c>
      <c r="G114" t="s">
        <v>5083</v>
      </c>
    </row>
    <row r="115" spans="1:7" ht="11.25" customHeight="1">
      <c r="A115" t="s">
        <v>16</v>
      </c>
      <c r="B115" t="s">
        <v>5081</v>
      </c>
      <c r="C115" t="s">
        <v>5084</v>
      </c>
      <c r="D115" t="s">
        <v>5081</v>
      </c>
      <c r="E115" t="s">
        <v>5084</v>
      </c>
      <c r="F115" t="s">
        <v>4806</v>
      </c>
      <c r="G115" t="s">
        <v>5085</v>
      </c>
    </row>
    <row r="116" spans="1:7" ht="11.25" customHeight="1">
      <c r="A116" t="s">
        <v>16</v>
      </c>
      <c r="B116" t="s">
        <v>5086</v>
      </c>
      <c r="C116" t="s">
        <v>5087</v>
      </c>
      <c r="D116" t="s">
        <v>5086</v>
      </c>
      <c r="E116" t="s">
        <v>5087</v>
      </c>
      <c r="F116" t="s">
        <v>4806</v>
      </c>
      <c r="G116" t="s">
        <v>5088</v>
      </c>
    </row>
    <row r="117" spans="1:7" ht="11.25" customHeight="1">
      <c r="A117" t="s">
        <v>16</v>
      </c>
      <c r="B117" t="s">
        <v>5089</v>
      </c>
      <c r="C117" t="s">
        <v>5090</v>
      </c>
      <c r="D117" t="s">
        <v>5089</v>
      </c>
      <c r="E117" t="s">
        <v>5090</v>
      </c>
      <c r="F117" t="s">
        <v>4806</v>
      </c>
      <c r="G117" t="s">
        <v>5091</v>
      </c>
    </row>
    <row r="118" spans="1:7" ht="11.25" customHeight="1">
      <c r="A118" t="s">
        <v>16</v>
      </c>
      <c r="B118" t="s">
        <v>5092</v>
      </c>
      <c r="C118" t="s">
        <v>5093</v>
      </c>
      <c r="D118" t="s">
        <v>5092</v>
      </c>
      <c r="E118" t="s">
        <v>5093</v>
      </c>
      <c r="F118" t="s">
        <v>4806</v>
      </c>
      <c r="G118" t="s">
        <v>5094</v>
      </c>
    </row>
    <row r="119" spans="1:7" ht="11.25" customHeight="1">
      <c r="A119" t="s">
        <v>16</v>
      </c>
      <c r="B119" t="s">
        <v>5095</v>
      </c>
      <c r="C119" t="s">
        <v>5096</v>
      </c>
      <c r="D119" t="s">
        <v>5095</v>
      </c>
      <c r="E119" t="s">
        <v>5096</v>
      </c>
      <c r="F119" t="s">
        <v>4806</v>
      </c>
      <c r="G119" t="s">
        <v>5097</v>
      </c>
    </row>
    <row r="120" spans="1:7" ht="11.25" customHeight="1">
      <c r="A120" t="s">
        <v>16</v>
      </c>
      <c r="B120" t="s">
        <v>5098</v>
      </c>
      <c r="C120" t="s">
        <v>5099</v>
      </c>
      <c r="D120" t="s">
        <v>5098</v>
      </c>
      <c r="E120" t="s">
        <v>5099</v>
      </c>
      <c r="F120" t="s">
        <v>4806</v>
      </c>
      <c r="G120" t="s">
        <v>5100</v>
      </c>
    </row>
    <row r="121" spans="1:7" ht="11.25" customHeight="1">
      <c r="A121" t="s">
        <v>16</v>
      </c>
      <c r="B121" t="s">
        <v>5101</v>
      </c>
      <c r="C121" t="s">
        <v>5102</v>
      </c>
      <c r="D121" t="s">
        <v>5101</v>
      </c>
      <c r="E121" t="s">
        <v>5102</v>
      </c>
      <c r="F121" t="s">
        <v>4806</v>
      </c>
      <c r="G121" t="s">
        <v>5103</v>
      </c>
    </row>
    <row r="122" spans="1:7" ht="11.25" customHeight="1">
      <c r="A122" t="s">
        <v>16</v>
      </c>
      <c r="B122" t="s">
        <v>5104</v>
      </c>
      <c r="C122" t="s">
        <v>5105</v>
      </c>
      <c r="D122" t="s">
        <v>5104</v>
      </c>
      <c r="E122" t="s">
        <v>5105</v>
      </c>
      <c r="F122" t="s">
        <v>4806</v>
      </c>
      <c r="G122" t="s">
        <v>5106</v>
      </c>
    </row>
    <row r="123" spans="1:7" ht="11.25" customHeight="1">
      <c r="A123" t="s">
        <v>16</v>
      </c>
      <c r="B123" t="s">
        <v>5107</v>
      </c>
      <c r="C123" t="s">
        <v>5108</v>
      </c>
      <c r="D123" t="s">
        <v>5107</v>
      </c>
      <c r="E123" t="s">
        <v>5108</v>
      </c>
      <c r="F123" t="s">
        <v>4806</v>
      </c>
      <c r="G123" t="s">
        <v>5109</v>
      </c>
    </row>
    <row r="124" spans="1:7" ht="11.25" customHeight="1">
      <c r="A124" t="s">
        <v>16</v>
      </c>
      <c r="B124" t="s">
        <v>5110</v>
      </c>
      <c r="C124" t="s">
        <v>5111</v>
      </c>
      <c r="D124" t="s">
        <v>5110</v>
      </c>
      <c r="E124" t="s">
        <v>5111</v>
      </c>
      <c r="F124" t="s">
        <v>4806</v>
      </c>
      <c r="G124" t="s">
        <v>5112</v>
      </c>
    </row>
    <row r="125" spans="1:7" ht="11.25" customHeight="1">
      <c r="A125" t="s">
        <v>16</v>
      </c>
      <c r="B125" t="s">
        <v>5113</v>
      </c>
      <c r="C125" t="s">
        <v>5114</v>
      </c>
      <c r="D125" t="s">
        <v>5113</v>
      </c>
      <c r="E125" t="s">
        <v>5114</v>
      </c>
      <c r="F125" t="s">
        <v>4806</v>
      </c>
      <c r="G125" t="s">
        <v>5115</v>
      </c>
    </row>
    <row r="126" spans="1:7" ht="11.25" customHeight="1">
      <c r="A126" t="s">
        <v>16</v>
      </c>
      <c r="B126" t="s">
        <v>5116</v>
      </c>
      <c r="C126" t="s">
        <v>5117</v>
      </c>
      <c r="D126" t="s">
        <v>5116</v>
      </c>
      <c r="E126" t="s">
        <v>5117</v>
      </c>
      <c r="F126" t="s">
        <v>4806</v>
      </c>
      <c r="G126" t="s">
        <v>5118</v>
      </c>
    </row>
    <row r="127" spans="1:7" ht="11.25" customHeight="1">
      <c r="A127" t="s">
        <v>16</v>
      </c>
      <c r="B127" t="s">
        <v>5119</v>
      </c>
      <c r="C127" t="s">
        <v>5120</v>
      </c>
      <c r="D127" t="s">
        <v>5119</v>
      </c>
      <c r="E127" t="s">
        <v>5120</v>
      </c>
      <c r="F127" t="s">
        <v>4806</v>
      </c>
      <c r="G127" t="s">
        <v>5121</v>
      </c>
    </row>
    <row r="128" spans="1:7" ht="11.25" customHeight="1">
      <c r="A128" t="s">
        <v>16</v>
      </c>
      <c r="B128" t="s">
        <v>5122</v>
      </c>
      <c r="C128" t="s">
        <v>5123</v>
      </c>
      <c r="D128" t="s">
        <v>5122</v>
      </c>
      <c r="E128" t="s">
        <v>5123</v>
      </c>
      <c r="F128" t="s">
        <v>4806</v>
      </c>
      <c r="G128" t="s">
        <v>5124</v>
      </c>
    </row>
    <row r="129" spans="1:7" ht="11.25" customHeight="1">
      <c r="A129" t="s">
        <v>16</v>
      </c>
      <c r="B129" t="s">
        <v>5125</v>
      </c>
      <c r="C129" t="s">
        <v>5126</v>
      </c>
      <c r="D129" t="s">
        <v>5125</v>
      </c>
      <c r="E129" t="s">
        <v>5126</v>
      </c>
      <c r="F129" t="s">
        <v>4806</v>
      </c>
      <c r="G129" t="s">
        <v>5127</v>
      </c>
    </row>
    <row r="130" spans="1:7" ht="11.25" customHeight="1">
      <c r="A130" t="s">
        <v>16</v>
      </c>
      <c r="B130" t="s">
        <v>5128</v>
      </c>
      <c r="C130" t="s">
        <v>5129</v>
      </c>
      <c r="D130" t="s">
        <v>5128</v>
      </c>
      <c r="E130" t="s">
        <v>5129</v>
      </c>
      <c r="F130" t="s">
        <v>4806</v>
      </c>
      <c r="G130" t="s">
        <v>5130</v>
      </c>
    </row>
    <row r="131" spans="1:7" ht="11.25" customHeight="1">
      <c r="A131" t="s">
        <v>16</v>
      </c>
      <c r="B131" t="s">
        <v>5131</v>
      </c>
      <c r="C131" t="s">
        <v>5132</v>
      </c>
      <c r="D131" t="s">
        <v>5131</v>
      </c>
      <c r="E131" t="s">
        <v>5132</v>
      </c>
      <c r="F131" t="s">
        <v>4806</v>
      </c>
      <c r="G131" t="s">
        <v>5133</v>
      </c>
    </row>
    <row r="132" spans="1:7" ht="11.25" customHeight="1">
      <c r="A132" t="s">
        <v>16</v>
      </c>
      <c r="B132" t="s">
        <v>5134</v>
      </c>
      <c r="C132" t="s">
        <v>5135</v>
      </c>
      <c r="D132" t="s">
        <v>5134</v>
      </c>
      <c r="E132" t="s">
        <v>5135</v>
      </c>
      <c r="F132" t="s">
        <v>4806</v>
      </c>
      <c r="G132" t="s">
        <v>5136</v>
      </c>
    </row>
    <row r="133" spans="1:7" ht="11.25" customHeight="1">
      <c r="A133" t="s">
        <v>16</v>
      </c>
      <c r="B133" t="s">
        <v>5137</v>
      </c>
      <c r="C133" t="s">
        <v>5138</v>
      </c>
      <c r="D133" t="s">
        <v>5137</v>
      </c>
      <c r="E133" t="s">
        <v>5138</v>
      </c>
      <c r="F133" t="s">
        <v>4806</v>
      </c>
      <c r="G133" t="s">
        <v>5139</v>
      </c>
    </row>
    <row r="134" spans="1:7" ht="11.25" customHeight="1">
      <c r="A134" t="s">
        <v>16</v>
      </c>
      <c r="B134" t="s">
        <v>5140</v>
      </c>
      <c r="C134" t="s">
        <v>5141</v>
      </c>
      <c r="D134" t="s">
        <v>5140</v>
      </c>
      <c r="E134" t="s">
        <v>5141</v>
      </c>
      <c r="F134" t="s">
        <v>4806</v>
      </c>
      <c r="G134" t="s">
        <v>5142</v>
      </c>
    </row>
    <row r="135" spans="1:7" ht="11.25" customHeight="1">
      <c r="A135" t="s">
        <v>16</v>
      </c>
      <c r="B135" t="s">
        <v>5143</v>
      </c>
      <c r="C135" t="s">
        <v>5144</v>
      </c>
      <c r="D135" t="s">
        <v>5143</v>
      </c>
      <c r="E135" t="s">
        <v>5144</v>
      </c>
      <c r="F135" t="s">
        <v>4806</v>
      </c>
      <c r="G135" t="s">
        <v>5145</v>
      </c>
    </row>
    <row r="136" spans="1:7" ht="11.25" customHeight="1">
      <c r="A136" t="s">
        <v>16</v>
      </c>
      <c r="B136" t="s">
        <v>5146</v>
      </c>
      <c r="C136" t="s">
        <v>5147</v>
      </c>
      <c r="D136" t="s">
        <v>5146</v>
      </c>
      <c r="E136" t="s">
        <v>5147</v>
      </c>
      <c r="F136" t="s">
        <v>4806</v>
      </c>
      <c r="G136" t="s">
        <v>5148</v>
      </c>
    </row>
    <row r="137" spans="1:7" ht="11.25" customHeight="1">
      <c r="A137" t="s">
        <v>16</v>
      </c>
      <c r="B137" t="s">
        <v>5149</v>
      </c>
      <c r="C137" t="s">
        <v>5150</v>
      </c>
      <c r="D137" t="s">
        <v>5149</v>
      </c>
      <c r="E137" t="s">
        <v>5150</v>
      </c>
      <c r="F137" t="s">
        <v>4806</v>
      </c>
      <c r="G137" t="s">
        <v>5151</v>
      </c>
    </row>
    <row r="138" spans="1:7" ht="11.25" customHeight="1">
      <c r="A138" t="s">
        <v>16</v>
      </c>
      <c r="B138" t="s">
        <v>5152</v>
      </c>
      <c r="C138" t="s">
        <v>5153</v>
      </c>
      <c r="D138" t="s">
        <v>5152</v>
      </c>
      <c r="E138" t="s">
        <v>5153</v>
      </c>
      <c r="F138" t="s">
        <v>4806</v>
      </c>
      <c r="G138" t="s">
        <v>5154</v>
      </c>
    </row>
    <row r="139" spans="1:7" ht="11.25" customHeight="1">
      <c r="A139" t="s">
        <v>16</v>
      </c>
      <c r="B139" t="s">
        <v>5155</v>
      </c>
      <c r="C139" t="s">
        <v>5156</v>
      </c>
      <c r="D139" t="s">
        <v>5155</v>
      </c>
      <c r="E139" t="s">
        <v>5156</v>
      </c>
      <c r="F139" t="s">
        <v>4806</v>
      </c>
      <c r="G139" t="s">
        <v>5157</v>
      </c>
    </row>
    <row r="140" spans="1:7" ht="11.25" customHeight="1">
      <c r="A140" t="s">
        <v>16</v>
      </c>
      <c r="B140" t="s">
        <v>5158</v>
      </c>
      <c r="C140" t="s">
        <v>5159</v>
      </c>
      <c r="D140" t="s">
        <v>5160</v>
      </c>
      <c r="E140" t="s">
        <v>5161</v>
      </c>
      <c r="F140" t="s">
        <v>4827</v>
      </c>
      <c r="G140" t="s">
        <v>5162</v>
      </c>
    </row>
    <row r="141" spans="1:7" ht="11.25" customHeight="1">
      <c r="A141" t="s">
        <v>16</v>
      </c>
      <c r="B141" t="s">
        <v>5158</v>
      </c>
      <c r="C141" t="s">
        <v>5159</v>
      </c>
      <c r="D141" t="s">
        <v>5163</v>
      </c>
      <c r="E141" t="s">
        <v>5164</v>
      </c>
      <c r="F141" t="s">
        <v>4827</v>
      </c>
      <c r="G141" t="s">
        <v>5165</v>
      </c>
    </row>
    <row r="142" spans="1:7" ht="11.25" customHeight="1">
      <c r="A142" t="s">
        <v>16</v>
      </c>
      <c r="B142" t="s">
        <v>5158</v>
      </c>
      <c r="C142" t="s">
        <v>5159</v>
      </c>
      <c r="D142" t="s">
        <v>5166</v>
      </c>
      <c r="E142" t="s">
        <v>5167</v>
      </c>
      <c r="F142" t="s">
        <v>4827</v>
      </c>
      <c r="G142" t="s">
        <v>5168</v>
      </c>
    </row>
    <row r="143" spans="1:7" ht="11.25" customHeight="1">
      <c r="A143" t="s">
        <v>16</v>
      </c>
      <c r="B143" t="s">
        <v>5158</v>
      </c>
      <c r="C143" t="s">
        <v>5159</v>
      </c>
      <c r="D143" t="s">
        <v>5169</v>
      </c>
      <c r="E143" t="s">
        <v>5170</v>
      </c>
      <c r="F143" t="s">
        <v>4827</v>
      </c>
      <c r="G143" t="s">
        <v>5171</v>
      </c>
    </row>
    <row r="144" spans="1:7" ht="11.25" customHeight="1">
      <c r="A144" t="s">
        <v>16</v>
      </c>
      <c r="B144" t="s">
        <v>5158</v>
      </c>
      <c r="C144" t="s">
        <v>5159</v>
      </c>
      <c r="D144" t="s">
        <v>5172</v>
      </c>
      <c r="E144" t="s">
        <v>5173</v>
      </c>
      <c r="F144" t="s">
        <v>4827</v>
      </c>
      <c r="G144" t="s">
        <v>5174</v>
      </c>
    </row>
    <row r="145" spans="1:7" ht="11.25" customHeight="1">
      <c r="A145" t="s">
        <v>16</v>
      </c>
      <c r="B145" t="s">
        <v>5158</v>
      </c>
      <c r="C145" t="s">
        <v>5159</v>
      </c>
      <c r="D145" t="s">
        <v>5158</v>
      </c>
      <c r="E145" t="s">
        <v>5159</v>
      </c>
      <c r="F145" t="s">
        <v>4828</v>
      </c>
      <c r="G145" t="s">
        <v>5175</v>
      </c>
    </row>
    <row r="146" spans="1:7" ht="11.25" customHeight="1">
      <c r="A146" t="s">
        <v>16</v>
      </c>
      <c r="B146" t="s">
        <v>5176</v>
      </c>
      <c r="C146" t="s">
        <v>5177</v>
      </c>
      <c r="D146" t="s">
        <v>5176</v>
      </c>
      <c r="E146" t="s">
        <v>5177</v>
      </c>
      <c r="F146" t="s">
        <v>4806</v>
      </c>
      <c r="G146" t="s">
        <v>5178</v>
      </c>
    </row>
    <row r="147" spans="1:7" ht="11.25" customHeight="1">
      <c r="A147" t="s">
        <v>16</v>
      </c>
      <c r="B147" t="s">
        <v>5179</v>
      </c>
      <c r="C147" t="s">
        <v>5180</v>
      </c>
      <c r="D147" t="s">
        <v>5179</v>
      </c>
      <c r="E147" t="s">
        <v>5180</v>
      </c>
      <c r="F147" t="s">
        <v>4806</v>
      </c>
      <c r="G147" t="s">
        <v>5181</v>
      </c>
    </row>
    <row r="148" spans="1:7" ht="11.25" customHeight="1">
      <c r="A148" t="s">
        <v>16</v>
      </c>
      <c r="B148" t="s">
        <v>5182</v>
      </c>
      <c r="C148" t="s">
        <v>5183</v>
      </c>
      <c r="D148" t="s">
        <v>5182</v>
      </c>
      <c r="E148" t="s">
        <v>5183</v>
      </c>
      <c r="F148" t="s">
        <v>4806</v>
      </c>
      <c r="G148" t="s">
        <v>5184</v>
      </c>
    </row>
    <row r="149" spans="1:7" ht="11.25" customHeight="1">
      <c r="A149" t="s">
        <v>16</v>
      </c>
      <c r="B149" t="s">
        <v>5185</v>
      </c>
      <c r="C149" t="s">
        <v>5186</v>
      </c>
      <c r="D149" t="s">
        <v>5185</v>
      </c>
      <c r="E149" t="s">
        <v>5186</v>
      </c>
      <c r="F149" t="s">
        <v>4806</v>
      </c>
      <c r="G149" t="s">
        <v>5187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31"/>
    <col min="2" max="2" width="84.28515625" style="31" customWidth="1"/>
    <col min="3" max="3" width="9.140625" style="31"/>
  </cols>
  <sheetData>
    <row r="1" spans="1:3" ht="11.25" customHeight="1">
      <c r="A1" s="31" t="s">
        <v>5273</v>
      </c>
      <c r="B1" s="31" t="s">
        <v>5274</v>
      </c>
      <c r="C1" s="31" t="s">
        <v>1166</v>
      </c>
    </row>
    <row r="2" spans="1:3" ht="11.25" customHeight="1">
      <c r="A2" s="31">
        <v>4189678</v>
      </c>
      <c r="B2" s="31" t="s">
        <v>5275</v>
      </c>
      <c r="C2" s="31" t="s">
        <v>5276</v>
      </c>
    </row>
    <row r="3" spans="1:3" ht="11.25" customHeight="1">
      <c r="A3" s="31">
        <v>4190415</v>
      </c>
      <c r="B3" s="31" t="s">
        <v>5277</v>
      </c>
      <c r="C3" s="31" t="s">
        <v>5276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72" customWidth="1"/>
    <col min="2" max="5" width="9.140625" style="72"/>
  </cols>
  <sheetData>
    <row r="1" spans="1:5" ht="15" customHeight="1">
      <c r="A1" s="73" t="s">
        <v>5278</v>
      </c>
      <c r="B1" s="73" t="s">
        <v>5279</v>
      </c>
      <c r="C1" s="73"/>
      <c r="D1" s="73"/>
      <c r="E1" s="73"/>
    </row>
    <row r="2" spans="1:5" ht="15" customHeight="1">
      <c r="A2" s="73"/>
      <c r="B2" s="73"/>
      <c r="C2" s="73"/>
      <c r="D2" s="73"/>
      <c r="E2" s="73"/>
    </row>
    <row r="3" spans="1:5" ht="15" customHeight="1">
      <c r="A3" s="73"/>
      <c r="B3" s="73"/>
      <c r="C3" s="73"/>
      <c r="D3" s="73"/>
      <c r="E3" s="73"/>
    </row>
    <row r="4" spans="1:5" ht="15" customHeight="1">
      <c r="A4" s="73"/>
      <c r="B4" s="73"/>
      <c r="C4" s="73"/>
      <c r="D4" s="73"/>
      <c r="E4" s="73"/>
    </row>
    <row r="5" spans="1:5" ht="15" customHeight="1">
      <c r="A5" s="73"/>
      <c r="B5" s="73"/>
      <c r="C5" s="73"/>
      <c r="D5" s="73"/>
      <c r="E5" s="73"/>
    </row>
    <row r="6" spans="1:5" ht="15" customHeight="1">
      <c r="A6" s="73"/>
      <c r="B6" s="73"/>
      <c r="C6" s="73"/>
      <c r="D6" s="73"/>
      <c r="E6" s="73"/>
    </row>
    <row r="7" spans="1:5" ht="15" customHeight="1">
      <c r="A7" s="73"/>
      <c r="B7" s="73"/>
      <c r="C7" s="73"/>
      <c r="D7" s="73"/>
      <c r="E7" s="73"/>
    </row>
    <row r="8" spans="1:5" ht="15" customHeight="1">
      <c r="A8" s="73"/>
      <c r="B8" s="73"/>
      <c r="C8" s="73"/>
      <c r="D8" s="73"/>
      <c r="E8" s="73"/>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5280</v>
      </c>
      <c r="B1" t="b">
        <v>1</v>
      </c>
    </row>
    <row r="2" spans="1:2" ht="11.25" customHeight="1">
      <c r="A2" t="s">
        <v>5281</v>
      </c>
      <c r="B2" t="b">
        <v>0</v>
      </c>
    </row>
    <row r="3" spans="1:2" ht="11.25" customHeight="1">
      <c r="A3" t="s">
        <v>5282</v>
      </c>
      <c r="B3" t="b">
        <v>0</v>
      </c>
    </row>
    <row r="4" spans="1:2" ht="11.25" customHeight="1">
      <c r="A4" t="s">
        <v>5283</v>
      </c>
      <c r="B4" t="b">
        <v>1</v>
      </c>
    </row>
    <row r="5" spans="1:2" ht="11.25" customHeight="1">
      <c r="A5" t="s">
        <v>5284</v>
      </c>
      <c r="B5" t="b">
        <v>0</v>
      </c>
    </row>
    <row r="6" spans="1:2" ht="11.25" customHeight="1">
      <c r="A6" t="s">
        <v>5285</v>
      </c>
      <c r="B6" t="b">
        <v>0</v>
      </c>
    </row>
    <row r="7" spans="1:2" ht="11.25" customHeight="1">
      <c r="A7" t="s">
        <v>5286</v>
      </c>
      <c r="B7" t="b">
        <v>0</v>
      </c>
    </row>
    <row r="8" spans="1:2" ht="11.25" customHeight="1">
      <c r="A8" t="s">
        <v>5287</v>
      </c>
      <c r="B8" t="b">
        <v>0</v>
      </c>
    </row>
    <row r="9" spans="1:2" ht="11.25" customHeight="1">
      <c r="A9" t="s">
        <v>5288</v>
      </c>
      <c r="B9" t="b">
        <v>0</v>
      </c>
    </row>
    <row r="10" spans="1:2" ht="11.25" customHeight="1">
      <c r="A10" t="s">
        <v>5289</v>
      </c>
      <c r="B10" t="b">
        <v>0</v>
      </c>
    </row>
    <row r="11" spans="1:2" ht="11.25" customHeight="1">
      <c r="A11" t="s">
        <v>5290</v>
      </c>
      <c r="B11" t="b">
        <v>0</v>
      </c>
    </row>
    <row r="12" spans="1:2" ht="11.25" customHeight="1">
      <c r="A12" t="s">
        <v>5291</v>
      </c>
      <c r="B12" t="b">
        <v>0</v>
      </c>
    </row>
    <row r="13" spans="1:2" ht="11.25" customHeight="1">
      <c r="A13" t="s">
        <v>5292</v>
      </c>
      <c r="B13" t="b">
        <v>0</v>
      </c>
    </row>
    <row r="14" spans="1:2" ht="11.25" customHeight="1">
      <c r="A14" t="s">
        <v>5293</v>
      </c>
      <c r="B14" t="b">
        <v>1</v>
      </c>
    </row>
    <row r="15" spans="1:2" ht="11.25" customHeight="1">
      <c r="A15" t="s">
        <v>5294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912"/>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4" t="s">
        <v>5295</v>
      </c>
      <c r="B1" s="4" t="s">
        <v>5296</v>
      </c>
    </row>
    <row r="2" spans="1:2" ht="11.25" customHeight="1">
      <c r="A2" s="2" t="s">
        <v>5297</v>
      </c>
      <c r="B2" s="2" t="s">
        <v>5298</v>
      </c>
    </row>
    <row r="3" spans="1:2" ht="11.25" customHeight="1">
      <c r="A3" s="2" t="s">
        <v>5299</v>
      </c>
      <c r="B3" s="2" t="s">
        <v>5300</v>
      </c>
    </row>
    <row r="4" spans="1:2" ht="11.25" customHeight="1">
      <c r="A4" s="2" t="s">
        <v>5301</v>
      </c>
      <c r="B4" s="2" t="s">
        <v>5302</v>
      </c>
    </row>
    <row r="5" spans="1:2" ht="11.25" customHeight="1">
      <c r="A5" s="2" t="s">
        <v>5303</v>
      </c>
      <c r="B5" s="2" t="s">
        <v>5304</v>
      </c>
    </row>
    <row r="6" spans="1:2" ht="11.25" customHeight="1">
      <c r="A6" s="2" t="s">
        <v>5305</v>
      </c>
      <c r="B6" s="2" t="s">
        <v>5306</v>
      </c>
    </row>
    <row r="7" spans="1:2" ht="11.25" customHeight="1">
      <c r="A7" s="2" t="s">
        <v>5307</v>
      </c>
      <c r="B7" s="2" t="s">
        <v>5308</v>
      </c>
    </row>
    <row r="8" spans="1:2" ht="11.25" customHeight="1">
      <c r="A8" s="2" t="s">
        <v>5309</v>
      </c>
      <c r="B8" s="2" t="s">
        <v>5310</v>
      </c>
    </row>
    <row r="9" spans="1:2" ht="11.25" customHeight="1">
      <c r="A9" s="2" t="s">
        <v>5311</v>
      </c>
      <c r="B9" s="2" t="s">
        <v>5312</v>
      </c>
    </row>
    <row r="10" spans="1:2" ht="11.25" customHeight="1">
      <c r="A10" s="2" t="s">
        <v>5313</v>
      </c>
      <c r="B10" s="2" t="s">
        <v>5314</v>
      </c>
    </row>
    <row r="11" spans="1:2" ht="11.25" customHeight="1">
      <c r="A11" s="2" t="s">
        <v>5315</v>
      </c>
      <c r="B11" s="2" t="s">
        <v>5316</v>
      </c>
    </row>
    <row r="12" spans="1:2" ht="11.25" customHeight="1">
      <c r="A12" s="2" t="s">
        <v>5317</v>
      </c>
      <c r="B12" s="2" t="s">
        <v>5318</v>
      </c>
    </row>
    <row r="13" spans="1:2" ht="11.25" customHeight="1">
      <c r="A13" s="2" t="s">
        <v>5319</v>
      </c>
      <c r="B13" s="2" t="s">
        <v>5320</v>
      </c>
    </row>
    <row r="14" spans="1:2" ht="11.25" customHeight="1">
      <c r="A14" s="2" t="s">
        <v>5321</v>
      </c>
      <c r="B14" s="2" t="s">
        <v>5322</v>
      </c>
    </row>
    <row r="15" spans="1:2" ht="11.25" customHeight="1">
      <c r="A15" s="2" t="s">
        <v>5323</v>
      </c>
      <c r="B15" s="2" t="s">
        <v>5324</v>
      </c>
    </row>
    <row r="16" spans="1:2" ht="11.25" customHeight="1">
      <c r="A16" s="2" t="s">
        <v>5325</v>
      </c>
      <c r="B16" s="2" t="s">
        <v>5326</v>
      </c>
    </row>
    <row r="17" spans="1:2" ht="11.25" customHeight="1">
      <c r="A17" s="2" t="s">
        <v>5327</v>
      </c>
      <c r="B17" s="2" t="s">
        <v>5328</v>
      </c>
    </row>
    <row r="18" spans="1:2" ht="11.25" customHeight="1">
      <c r="A18" s="2" t="s">
        <v>5329</v>
      </c>
      <c r="B18" s="2" t="s">
        <v>5330</v>
      </c>
    </row>
    <row r="19" spans="1:2" ht="11.25" customHeight="1">
      <c r="A19" s="2" t="s">
        <v>5331</v>
      </c>
      <c r="B19" s="2" t="s">
        <v>5332</v>
      </c>
    </row>
    <row r="20" spans="1:2" ht="11.25" customHeight="1">
      <c r="A20" s="2" t="s">
        <v>5333</v>
      </c>
      <c r="B20" s="2" t="s">
        <v>5334</v>
      </c>
    </row>
    <row r="21" spans="1:2" ht="11.25" customHeight="1">
      <c r="A21" s="2" t="s">
        <v>5335</v>
      </c>
      <c r="B21" s="2" t="s">
        <v>5336</v>
      </c>
    </row>
    <row r="22" spans="1:2" ht="11.25" customHeight="1">
      <c r="A22" s="2" t="s">
        <v>5337</v>
      </c>
      <c r="B22" s="2" t="s">
        <v>5338</v>
      </c>
    </row>
    <row r="23" spans="1:2" ht="11.25" customHeight="1">
      <c r="A23" s="2" t="s">
        <v>5339</v>
      </c>
      <c r="B23" s="2" t="s">
        <v>5340</v>
      </c>
    </row>
    <row r="24" spans="1:2" ht="11.25" customHeight="1">
      <c r="A24" s="2" t="s">
        <v>5341</v>
      </c>
      <c r="B24" s="2" t="s">
        <v>5342</v>
      </c>
    </row>
    <row r="25" spans="1:2" ht="11.25" customHeight="1">
      <c r="A25" s="2" t="s">
        <v>5343</v>
      </c>
      <c r="B25" s="2" t="s">
        <v>5344</v>
      </c>
    </row>
    <row r="26" spans="1:2" ht="11.25" customHeight="1">
      <c r="A26" s="2" t="s">
        <v>5345</v>
      </c>
      <c r="B26" s="2" t="s">
        <v>5346</v>
      </c>
    </row>
    <row r="27" spans="1:2" ht="11.25" customHeight="1">
      <c r="A27" s="2" t="s">
        <v>5347</v>
      </c>
      <c r="B27" s="2" t="s">
        <v>5348</v>
      </c>
    </row>
    <row r="28" spans="1:2" ht="11.25" customHeight="1">
      <c r="A28" s="2" t="s">
        <v>5349</v>
      </c>
      <c r="B28" s="2" t="s">
        <v>5350</v>
      </c>
    </row>
    <row r="29" spans="1:2" ht="11.25" customHeight="1">
      <c r="A29" s="2" t="s">
        <v>5351</v>
      </c>
      <c r="B29" s="2" t="s">
        <v>5352</v>
      </c>
    </row>
    <row r="30" spans="1:2" ht="11.25" customHeight="1">
      <c r="A30" s="2" t="s">
        <v>5353</v>
      </c>
      <c r="B30" s="2" t="s">
        <v>5354</v>
      </c>
    </row>
    <row r="31" spans="1:2" ht="11.25" customHeight="1">
      <c r="A31" s="2" t="s">
        <v>5355</v>
      </c>
      <c r="B31" s="2" t="s">
        <v>5356</v>
      </c>
    </row>
    <row r="32" spans="1:2" ht="11.25" customHeight="1">
      <c r="A32" s="2" t="s">
        <v>5357</v>
      </c>
      <c r="B32" s="2" t="s">
        <v>5358</v>
      </c>
    </row>
    <row r="33" spans="1:2" ht="11.25" customHeight="1">
      <c r="A33" s="2" t="s">
        <v>5359</v>
      </c>
      <c r="B33" s="2" t="s">
        <v>5360</v>
      </c>
    </row>
    <row r="34" spans="1:2" ht="11.25" customHeight="1">
      <c r="A34" s="2" t="s">
        <v>5361</v>
      </c>
      <c r="B34" s="2" t="s">
        <v>5362</v>
      </c>
    </row>
    <row r="35" spans="1:2" ht="11.25" customHeight="1">
      <c r="A35" s="2" t="s">
        <v>5363</v>
      </c>
      <c r="B35" s="2" t="s">
        <v>5364</v>
      </c>
    </row>
    <row r="36" spans="1:2" ht="11.25" customHeight="1">
      <c r="A36" s="2" t="s">
        <v>5365</v>
      </c>
      <c r="B36" s="2" t="s">
        <v>5366</v>
      </c>
    </row>
    <row r="37" spans="1:2" ht="11.25" customHeight="1">
      <c r="A37" s="2" t="s">
        <v>5367</v>
      </c>
      <c r="B37" s="2" t="s">
        <v>5368</v>
      </c>
    </row>
    <row r="38" spans="1:2" ht="11.25" customHeight="1">
      <c r="A38" s="2" t="s">
        <v>5369</v>
      </c>
      <c r="B38" s="2" t="s">
        <v>5370</v>
      </c>
    </row>
    <row r="39" spans="1:2" ht="11.25" customHeight="1">
      <c r="A39" s="2" t="s">
        <v>5371</v>
      </c>
      <c r="B39" s="2" t="s">
        <v>5372</v>
      </c>
    </row>
    <row r="40" spans="1:2" ht="11.25" customHeight="1">
      <c r="A40" s="2" t="s">
        <v>5373</v>
      </c>
      <c r="B40" s="2" t="s">
        <v>5374</v>
      </c>
    </row>
    <row r="41" spans="1:2" ht="11.25" customHeight="1">
      <c r="A41" s="2" t="s">
        <v>5375</v>
      </c>
      <c r="B41" s="2" t="s">
        <v>5376</v>
      </c>
    </row>
    <row r="42" spans="1:2" ht="11.25" customHeight="1">
      <c r="A42" s="2" t="s">
        <v>5377</v>
      </c>
      <c r="B42" s="2" t="s">
        <v>5378</v>
      </c>
    </row>
    <row r="43" spans="1:2" ht="11.25" customHeight="1">
      <c r="A43" s="2" t="s">
        <v>5379</v>
      </c>
      <c r="B43" s="2" t="s">
        <v>5380</v>
      </c>
    </row>
    <row r="44" spans="1:2" ht="11.25" customHeight="1">
      <c r="A44" s="2" t="s">
        <v>5381</v>
      </c>
      <c r="B44" s="2" t="s">
        <v>5382</v>
      </c>
    </row>
    <row r="45" spans="1:2" ht="11.25" customHeight="1">
      <c r="A45" s="2" t="s">
        <v>5383</v>
      </c>
      <c r="B45" s="2" t="s">
        <v>5384</v>
      </c>
    </row>
    <row r="46" spans="1:2" ht="11.25" customHeight="1">
      <c r="A46" s="2" t="s">
        <v>5385</v>
      </c>
      <c r="B46" s="2" t="s">
        <v>5386</v>
      </c>
    </row>
    <row r="47" spans="1:2" ht="11.25" customHeight="1">
      <c r="A47" s="2" t="s">
        <v>5387</v>
      </c>
      <c r="B47" s="2" t="s">
        <v>5388</v>
      </c>
    </row>
    <row r="48" spans="1:2" ht="11.25" customHeight="1">
      <c r="A48" s="2" t="s">
        <v>5389</v>
      </c>
      <c r="B48" s="2" t="s">
        <v>5390</v>
      </c>
    </row>
    <row r="49" spans="1:2" ht="11.25" customHeight="1">
      <c r="A49" s="2" t="s">
        <v>5391</v>
      </c>
      <c r="B49" s="2" t="s">
        <v>5392</v>
      </c>
    </row>
    <row r="50" spans="1:2" ht="11.25" customHeight="1">
      <c r="A50" s="2" t="s">
        <v>5393</v>
      </c>
      <c r="B50" s="2" t="s">
        <v>5394</v>
      </c>
    </row>
    <row r="51" spans="1:2" ht="11.25" customHeight="1">
      <c r="A51" s="2" t="s">
        <v>5395</v>
      </c>
      <c r="B51" s="2" t="s">
        <v>5396</v>
      </c>
    </row>
    <row r="52" spans="1:2" ht="11.25" customHeight="1">
      <c r="A52" s="2" t="s">
        <v>5397</v>
      </c>
      <c r="B52" s="2" t="s">
        <v>5398</v>
      </c>
    </row>
    <row r="53" spans="1:2" ht="11.25" customHeight="1">
      <c r="A53" s="2" t="s">
        <v>5399</v>
      </c>
      <c r="B53" s="2" t="s">
        <v>5400</v>
      </c>
    </row>
    <row r="54" spans="1:2" ht="11.25" customHeight="1">
      <c r="A54" s="2" t="s">
        <v>5401</v>
      </c>
      <c r="B54" s="2" t="s">
        <v>5402</v>
      </c>
    </row>
    <row r="55" spans="1:2" ht="11.25" customHeight="1">
      <c r="A55" s="2" t="s">
        <v>5403</v>
      </c>
      <c r="B55" s="2" t="s">
        <v>5404</v>
      </c>
    </row>
    <row r="56" spans="1:2" ht="11.25" customHeight="1">
      <c r="A56" s="2" t="s">
        <v>5405</v>
      </c>
      <c r="B56" s="2" t="s">
        <v>5406</v>
      </c>
    </row>
    <row r="57" spans="1:2" ht="11.25" customHeight="1">
      <c r="A57" s="2" t="s">
        <v>5407</v>
      </c>
      <c r="B57" s="2" t="s">
        <v>5408</v>
      </c>
    </row>
    <row r="58" spans="1:2" ht="11.25" customHeight="1">
      <c r="A58" s="2" t="s">
        <v>5409</v>
      </c>
      <c r="B58" s="2" t="s">
        <v>5410</v>
      </c>
    </row>
    <row r="59" spans="1:2" ht="11.25" customHeight="1">
      <c r="A59" s="2" t="s">
        <v>5411</v>
      </c>
      <c r="B59" s="2" t="s">
        <v>5412</v>
      </c>
    </row>
    <row r="60" spans="1:2" ht="11.25" customHeight="1">
      <c r="A60" s="2" t="s">
        <v>5413</v>
      </c>
      <c r="B60" s="2" t="s">
        <v>5414</v>
      </c>
    </row>
    <row r="61" spans="1:2" ht="11.25" customHeight="1">
      <c r="A61" s="2"/>
      <c r="B61" s="2" t="s">
        <v>5415</v>
      </c>
    </row>
    <row r="62" spans="1:2" ht="11.25" customHeight="1">
      <c r="A62" s="2"/>
      <c r="B62" s="2" t="s">
        <v>5416</v>
      </c>
    </row>
    <row r="63" spans="1:2" ht="11.25" customHeight="1">
      <c r="A63" s="2"/>
      <c r="B63" s="2" t="s">
        <v>5417</v>
      </c>
    </row>
    <row r="64" spans="1:2" ht="11.25" customHeight="1">
      <c r="A64" s="2"/>
      <c r="B64" s="2" t="s">
        <v>5418</v>
      </c>
    </row>
    <row r="65" spans="1:2" ht="11.25" customHeight="1">
      <c r="A65" s="2"/>
      <c r="B65" s="2" t="s">
        <v>5419</v>
      </c>
    </row>
    <row r="66" spans="1:2" ht="11.25" customHeight="1">
      <c r="A66" s="2"/>
      <c r="B66" s="2" t="s">
        <v>5420</v>
      </c>
    </row>
    <row r="67" spans="1:2" ht="11.25" customHeight="1">
      <c r="A67" s="2"/>
      <c r="B67" s="2" t="s">
        <v>5421</v>
      </c>
    </row>
    <row r="68" spans="1:2" ht="11.25" customHeight="1">
      <c r="A68" s="2"/>
      <c r="B68" s="2" t="s">
        <v>5422</v>
      </c>
    </row>
    <row r="69" spans="1:2" ht="11.25" customHeight="1">
      <c r="A69" s="2"/>
      <c r="B69" s="2" t="s">
        <v>5423</v>
      </c>
    </row>
    <row r="70" spans="1:2" ht="11.25" customHeight="1">
      <c r="A70" s="2"/>
      <c r="B70" s="2" t="s">
        <v>5424</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5" t="s">
        <v>5425</v>
      </c>
    </row>
    <row r="2" spans="2:4" ht="90" customHeight="1">
      <c r="B2" s="26" t="s">
        <v>5426</v>
      </c>
    </row>
    <row r="3" spans="2:4" ht="67.5" customHeight="1">
      <c r="B3" s="26" t="s">
        <v>5427</v>
      </c>
    </row>
    <row r="4" spans="2:4" ht="33.75" customHeight="1">
      <c r="B4" s="26" t="s">
        <v>5428</v>
      </c>
    </row>
    <row r="5" spans="2:4" ht="11.25" customHeight="1">
      <c r="B5" s="26" t="s">
        <v>5429</v>
      </c>
    </row>
    <row r="6" spans="2:4" ht="22.5" customHeight="1">
      <c r="B6" s="26" t="s">
        <v>5430</v>
      </c>
    </row>
    <row r="7" spans="2:4" ht="22.5" customHeight="1">
      <c r="B7" s="26" t="s">
        <v>5431</v>
      </c>
    </row>
    <row r="8" spans="2:4" ht="22.5" customHeight="1">
      <c r="B8" s="26" t="s">
        <v>5432</v>
      </c>
    </row>
    <row r="9" spans="2:4" ht="22.5" customHeight="1">
      <c r="B9" s="26" t="s">
        <v>5433</v>
      </c>
    </row>
    <row r="10" spans="2:4" ht="56.25" customHeight="1">
      <c r="B10" s="26" t="s">
        <v>5434</v>
      </c>
    </row>
    <row r="11" spans="2:4" ht="12.75" customHeight="1">
      <c r="B11" s="69" t="s">
        <v>5435</v>
      </c>
    </row>
    <row r="12" spans="2:4" ht="11.25" customHeight="1">
      <c r="B12" s="25" t="s">
        <v>5436</v>
      </c>
    </row>
    <row r="13" spans="2:4" ht="22.5" customHeight="1">
      <c r="B13" s="26" t="s">
        <v>5437</v>
      </c>
    </row>
    <row r="14" spans="2:4" ht="67.5" customHeight="1">
      <c r="B14" s="26" t="s">
        <v>5438</v>
      </c>
    </row>
    <row r="15" spans="2:4" ht="22.5" customHeight="1">
      <c r="B15" s="26" t="s">
        <v>5439</v>
      </c>
    </row>
    <row r="16" spans="2:4" ht="11.25" customHeight="1">
      <c r="B16" s="25" t="s">
        <v>5440</v>
      </c>
      <c r="D16" s="31"/>
    </row>
    <row r="17" spans="2:2" ht="33.75" customHeight="1">
      <c r="B17" s="26" t="s">
        <v>5441</v>
      </c>
    </row>
    <row r="18" spans="2:2" ht="33.75" customHeight="1">
      <c r="B18" s="26" t="s">
        <v>5442</v>
      </c>
    </row>
    <row r="19" spans="2:2" ht="11.25" customHeight="1">
      <c r="B19" s="26" t="s">
        <v>5443</v>
      </c>
    </row>
    <row r="20" spans="2:2" ht="33.75" customHeight="1">
      <c r="B20" s="26" t="s">
        <v>5444</v>
      </c>
    </row>
    <row r="21" spans="2:2" ht="11.25" customHeight="1">
      <c r="B21" s="25" t="s">
        <v>5445</v>
      </c>
    </row>
    <row r="22" spans="2:2" ht="11.25" customHeight="1">
      <c r="B22" s="26" t="s">
        <v>5446</v>
      </c>
    </row>
    <row r="24" spans="2:2" ht="22.5" customHeight="1">
      <c r="B24" s="71" t="s">
        <v>5447</v>
      </c>
    </row>
    <row r="26" spans="2:2" ht="11.25" customHeight="1">
      <c r="B26" s="25" t="s">
        <v>5448</v>
      </c>
    </row>
    <row r="27" spans="2:2" ht="22.5" customHeight="1">
      <c r="B27" s="70" t="s">
        <v>396</v>
      </c>
    </row>
    <row r="28" spans="2:2" ht="56.25" customHeight="1">
      <c r="B28" s="70" t="s">
        <v>5449</v>
      </c>
    </row>
    <row r="29" spans="2:2" ht="11.25" customHeight="1">
      <c r="B29" s="112" t="s">
        <v>5450</v>
      </c>
    </row>
    <row r="30" spans="2:2" ht="22.5" customHeight="1">
      <c r="B30" s="70" t="s">
        <v>5451</v>
      </c>
    </row>
    <row r="32" spans="2:2" ht="11.25" customHeight="1">
      <c r="B32" s="95" t="s">
        <v>5452</v>
      </c>
    </row>
    <row r="33" spans="1:2" ht="14.25" customHeight="1">
      <c r="A33" s="96">
        <v>1</v>
      </c>
      <c r="B33" s="97" t="s">
        <v>5453</v>
      </c>
    </row>
    <row r="34" spans="1:2" ht="14.25" customHeight="1">
      <c r="A34" s="96">
        <v>2</v>
      </c>
      <c r="B34" s="97" t="s">
        <v>5454</v>
      </c>
    </row>
    <row r="35" spans="1:2" ht="11.25" customHeight="1">
      <c r="B35" s="95" t="s">
        <v>5455</v>
      </c>
    </row>
    <row r="36" spans="1:2" ht="11.25" customHeight="1">
      <c r="B36" s="97" t="s">
        <v>5456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7" hidden="1" customWidth="1"/>
    <col min="2" max="2" width="9.140625" style="10" hidden="1" customWidth="1"/>
    <col min="3" max="3" width="3" style="74" customWidth="1"/>
    <col min="4" max="4" width="5" style="10" customWidth="1"/>
    <col min="5" max="5" width="38" style="10" customWidth="1"/>
    <col min="6" max="7" width="3" style="10" customWidth="1"/>
    <col min="8" max="8" width="38" style="10" customWidth="1"/>
    <col min="9" max="9" width="35" style="10" customWidth="1"/>
    <col min="10" max="10" width="103" style="10" customWidth="1"/>
    <col min="11" max="11" width="3" style="44" customWidth="1"/>
    <col min="12" max="14" width="10" style="65" customWidth="1"/>
    <col min="15" max="15" width="13" style="65" customWidth="1"/>
    <col min="16" max="16" width="15" style="65" customWidth="1"/>
    <col min="17" max="17" width="16" style="65" customWidth="1"/>
    <col min="18" max="21" width="10" style="65" customWidth="1"/>
    <col min="22" max="22" width="10.5703125" style="10" hidden="1"/>
  </cols>
  <sheetData>
    <row r="1" spans="1:22" ht="22.5" hidden="1" customHeight="1">
      <c r="E1" s="232"/>
      <c r="F1" s="232"/>
      <c r="G1" s="232"/>
      <c r="H1" s="1261" t="s">
        <v>352</v>
      </c>
      <c r="I1" s="1261"/>
      <c r="V1" s="10" t="s">
        <v>14</v>
      </c>
    </row>
    <row r="2" spans="1:22" s="10" customFormat="1" ht="14.25" hidden="1" customHeight="1">
      <c r="C2" s="22"/>
      <c r="D2" s="1265" t="s">
        <v>107</v>
      </c>
      <c r="E2" s="1267"/>
      <c r="F2" s="888"/>
      <c r="G2" s="42" t="s">
        <v>107</v>
      </c>
      <c r="H2" s="214"/>
      <c r="I2" s="889"/>
      <c r="L2" s="65"/>
      <c r="M2" s="65"/>
      <c r="N2" s="65"/>
      <c r="O2" s="65" t="s">
        <v>382</v>
      </c>
      <c r="P2" s="65"/>
      <c r="Q2" s="65"/>
      <c r="R2" s="66" t="s">
        <v>381</v>
      </c>
      <c r="S2" s="66" t="s">
        <v>381</v>
      </c>
      <c r="T2" s="65"/>
      <c r="U2" s="65"/>
      <c r="V2" s="10">
        <v>0</v>
      </c>
    </row>
    <row r="3" spans="1:22" s="10" customFormat="1" ht="14.25" hidden="1" customHeight="1">
      <c r="C3" s="22"/>
      <c r="D3" s="1266"/>
      <c r="E3" s="1268"/>
      <c r="F3" s="152"/>
      <c r="G3" s="502"/>
      <c r="H3" s="502" t="s">
        <v>383</v>
      </c>
      <c r="I3" s="179"/>
      <c r="L3" s="65"/>
      <c r="M3" s="65"/>
      <c r="N3" s="65"/>
      <c r="O3" s="65"/>
      <c r="P3" s="65"/>
      <c r="Q3" s="65"/>
      <c r="R3" s="66"/>
      <c r="S3" s="66"/>
      <c r="T3" s="65"/>
      <c r="U3" s="65"/>
      <c r="V3" s="10">
        <v>0</v>
      </c>
    </row>
    <row r="4" spans="1:22" ht="14.25" hidden="1" customHeight="1">
      <c r="V4" s="10">
        <v>0</v>
      </c>
    </row>
    <row r="5" spans="1:22" s="401" customFormat="1" ht="5.25" customHeight="1">
      <c r="C5" s="402"/>
      <c r="D5" s="403"/>
      <c r="E5" s="403"/>
      <c r="F5" s="403"/>
      <c r="G5" s="403"/>
      <c r="H5" s="403" t="s">
        <v>356</v>
      </c>
      <c r="I5" s="403"/>
      <c r="J5" s="403"/>
      <c r="L5" s="65"/>
      <c r="M5" s="65"/>
      <c r="N5" s="65"/>
      <c r="O5" s="65"/>
      <c r="P5" s="65"/>
      <c r="Q5" s="65"/>
      <c r="R5" s="65"/>
      <c r="S5" s="65"/>
      <c r="T5" s="65"/>
      <c r="U5" s="65"/>
      <c r="V5" s="401">
        <v>5</v>
      </c>
    </row>
    <row r="6" spans="1:22" ht="29.25" customHeight="1">
      <c r="C6" s="22"/>
      <c r="D6" s="1264" t="s">
        <v>384</v>
      </c>
      <c r="E6" s="1264"/>
      <c r="F6" s="1264"/>
      <c r="G6" s="1264"/>
      <c r="H6" s="1264"/>
      <c r="I6" s="1264"/>
      <c r="J6" s="278"/>
      <c r="K6" s="153"/>
      <c r="V6" s="10">
        <v>28</v>
      </c>
    </row>
    <row r="7" spans="1:22" ht="18" customHeight="1">
      <c r="C7" s="22"/>
      <c r="D7" s="1236" t="str">
        <f>IF(org=0,"Не определено",org)</f>
        <v>Общество с ограниченной ответственностью "Березовский рудник"</v>
      </c>
      <c r="E7" s="1236"/>
      <c r="F7" s="1236"/>
      <c r="G7" s="1236"/>
      <c r="H7" s="1236"/>
      <c r="I7" s="1236"/>
      <c r="J7" s="278"/>
      <c r="K7" s="153"/>
      <c r="V7" s="10">
        <v>17</v>
      </c>
    </row>
    <row r="8" spans="1:22" s="133" customFormat="1" ht="5.25" customHeight="1">
      <c r="A8" s="271"/>
      <c r="C8" s="276"/>
      <c r="D8" s="275"/>
      <c r="E8" s="275"/>
      <c r="F8" s="275"/>
      <c r="G8" s="275"/>
      <c r="H8" s="275"/>
      <c r="I8" s="275"/>
      <c r="J8" s="275"/>
      <c r="L8" s="65"/>
      <c r="M8" s="65"/>
      <c r="N8" s="65"/>
      <c r="O8" s="65"/>
      <c r="P8" s="65"/>
      <c r="Q8" s="65"/>
      <c r="R8" s="65"/>
      <c r="S8" s="65"/>
      <c r="T8" s="65"/>
      <c r="U8" s="65"/>
      <c r="V8" s="133">
        <v>5</v>
      </c>
    </row>
    <row r="9" spans="1:22" s="133" customFormat="1" ht="5.25" customHeight="1">
      <c r="A9" s="271"/>
      <c r="C9" s="276"/>
      <c r="D9" s="275"/>
      <c r="E9" s="275"/>
      <c r="F9" s="275"/>
      <c r="G9" s="275"/>
      <c r="H9" s="275"/>
      <c r="I9" s="275"/>
      <c r="J9" s="275"/>
      <c r="L9" s="65"/>
      <c r="M9" s="65"/>
      <c r="N9" s="65"/>
      <c r="O9" s="65"/>
      <c r="P9" s="65"/>
      <c r="Q9" s="65"/>
      <c r="R9" s="65"/>
      <c r="S9" s="65"/>
      <c r="T9" s="65"/>
      <c r="U9" s="65"/>
      <c r="V9" s="133">
        <v>5</v>
      </c>
    </row>
    <row r="10" spans="1:22" ht="14.65" customHeight="1">
      <c r="C10" s="22"/>
      <c r="D10" s="1249" t="s">
        <v>300</v>
      </c>
      <c r="E10" s="1262"/>
      <c r="F10" s="1262"/>
      <c r="G10" s="1262"/>
      <c r="H10" s="1262"/>
      <c r="I10" s="1262"/>
      <c r="J10" s="1203" t="s">
        <v>301</v>
      </c>
      <c r="V10" s="10">
        <v>14</v>
      </c>
    </row>
    <row r="11" spans="1:22" ht="27.4" customHeight="1">
      <c r="C11" s="22"/>
      <c r="D11" s="1146" t="s">
        <v>86</v>
      </c>
      <c r="E11" s="1203" t="s">
        <v>103</v>
      </c>
      <c r="F11" s="1217" t="s">
        <v>86</v>
      </c>
      <c r="G11" s="1218"/>
      <c r="H11" s="1216" t="s">
        <v>385</v>
      </c>
      <c r="I11" s="1216" t="s">
        <v>386</v>
      </c>
      <c r="J11" s="1203"/>
      <c r="V11" s="10">
        <v>26</v>
      </c>
    </row>
    <row r="12" spans="1:22" ht="14.65" customHeight="1">
      <c r="C12" s="22"/>
      <c r="D12" s="1146"/>
      <c r="E12" s="1203"/>
      <c r="F12" s="1222"/>
      <c r="G12" s="1223"/>
      <c r="H12" s="1269"/>
      <c r="I12" s="1269"/>
      <c r="J12" s="1203"/>
      <c r="V12" s="10">
        <v>14</v>
      </c>
    </row>
    <row r="13" spans="1:22" s="200" customFormat="1" ht="11.25" hidden="1" customHeight="1">
      <c r="C13" s="283"/>
      <c r="D13" s="284" t="s">
        <v>376</v>
      </c>
      <c r="E13" s="284"/>
      <c r="F13" s="284"/>
      <c r="G13" s="284"/>
      <c r="H13" s="282"/>
      <c r="I13" s="282"/>
      <c r="J13" s="70"/>
      <c r="L13" s="65"/>
      <c r="M13" s="65"/>
      <c r="N13" s="65"/>
      <c r="O13" s="65"/>
      <c r="P13" s="65"/>
      <c r="Q13" s="65"/>
      <c r="R13" s="65"/>
      <c r="S13" s="65"/>
      <c r="T13" s="65"/>
      <c r="U13" s="65"/>
      <c r="V13" s="200">
        <v>0</v>
      </c>
    </row>
    <row r="14" spans="1:22" ht="14.65" customHeight="1">
      <c r="A14" s="10"/>
      <c r="C14" s="22"/>
      <c r="D14" s="1265" t="s">
        <v>107</v>
      </c>
      <c r="E14" s="1267"/>
      <c r="F14" s="888"/>
      <c r="G14" s="42" t="s">
        <v>107</v>
      </c>
      <c r="H14" s="214"/>
      <c r="I14" s="889"/>
      <c r="J14" s="1190" t="s">
        <v>387</v>
      </c>
      <c r="K14" s="10"/>
      <c r="R14" s="66" t="s">
        <v>381</v>
      </c>
      <c r="S14" s="66" t="s">
        <v>381</v>
      </c>
      <c r="V14" s="10">
        <v>14</v>
      </c>
    </row>
    <row r="15" spans="1:22" ht="14.65" customHeight="1">
      <c r="A15" s="10"/>
      <c r="C15" s="22"/>
      <c r="D15" s="1266"/>
      <c r="E15" s="1268"/>
      <c r="F15" s="152"/>
      <c r="G15" s="502"/>
      <c r="H15" s="502" t="s">
        <v>383</v>
      </c>
      <c r="I15" s="179"/>
      <c r="J15" s="1191"/>
      <c r="K15" s="10"/>
      <c r="R15" s="66"/>
      <c r="S15" s="66"/>
      <c r="V15" s="10">
        <v>14</v>
      </c>
    </row>
    <row r="16" spans="1:22" ht="14.65" customHeight="1">
      <c r="A16" s="10"/>
      <c r="C16" s="22"/>
      <c r="D16" s="152"/>
      <c r="E16" s="502" t="s">
        <v>119</v>
      </c>
      <c r="F16" s="179"/>
      <c r="G16" s="179"/>
      <c r="H16" s="229"/>
      <c r="I16" s="229"/>
      <c r="J16" s="1192"/>
      <c r="K16" s="10"/>
      <c r="V16" s="10">
        <v>14</v>
      </c>
    </row>
    <row r="17" spans="1:22" ht="14.65" customHeight="1">
      <c r="K17" s="10"/>
      <c r="V17" s="10">
        <v>14</v>
      </c>
    </row>
    <row r="18" spans="1:22" ht="22.5" hidden="1" customHeight="1">
      <c r="A18" s="7" t="s">
        <v>80</v>
      </c>
      <c r="B18" s="10">
        <v>0</v>
      </c>
      <c r="C18" s="74">
        <v>3</v>
      </c>
      <c r="D18" s="10">
        <v>5</v>
      </c>
      <c r="E18" s="10">
        <v>38</v>
      </c>
      <c r="F18" s="10">
        <v>3</v>
      </c>
      <c r="G18" s="10">
        <v>3</v>
      </c>
      <c r="H18" s="10">
        <v>38</v>
      </c>
      <c r="I18" s="10">
        <v>35</v>
      </c>
      <c r="J18" s="10">
        <v>103</v>
      </c>
      <c r="K18" s="44">
        <v>3</v>
      </c>
      <c r="L18" s="65">
        <v>10</v>
      </c>
      <c r="M18" s="65">
        <v>10</v>
      </c>
      <c r="N18" s="65">
        <v>10</v>
      </c>
      <c r="O18" s="65">
        <v>13</v>
      </c>
      <c r="P18" s="65">
        <v>15</v>
      </c>
      <c r="Q18" s="65">
        <v>16</v>
      </c>
      <c r="R18" s="65">
        <v>10</v>
      </c>
      <c r="S18" s="65">
        <v>10</v>
      </c>
      <c r="T18" s="65">
        <v>10</v>
      </c>
      <c r="U18" s="65">
        <v>10</v>
      </c>
      <c r="V18" s="10">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Мудрякова</cp:lastModifiedBy>
  <cp:lastPrinted>2025-04-23T08:38:45Z</cp:lastPrinted>
  <dcterms:created xsi:type="dcterms:W3CDTF">2004-05-21T07:18:45Z</dcterms:created>
  <dcterms:modified xsi:type="dcterms:W3CDTF">2026-04-23T04:36:54Z</dcterms:modified>
</cp:coreProperties>
</file>